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93.výzva\"/>
    </mc:Choice>
  </mc:AlternateContent>
  <xr:revisionPtr revIDLastSave="0" documentId="13_ncr:1_{32FC2BE5-D710-4272-9E7C-25C8CAD28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KR!$A$1:$J$36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M61" i="2" l="1"/>
  <c r="D20" i="2"/>
  <c r="M70" i="2"/>
  <c r="L70" i="2"/>
  <c r="K70" i="2"/>
  <c r="J70" i="2"/>
  <c r="I70" i="2"/>
  <c r="H70" i="2"/>
  <c r="G70" i="2"/>
  <c r="F70" i="2"/>
  <c r="E70" i="2"/>
  <c r="D70" i="2"/>
  <c r="B23" i="2"/>
  <c r="D75" i="2" l="1"/>
  <c r="D74" i="2"/>
  <c r="D83" i="2"/>
  <c r="F80" i="2"/>
  <c r="D82" i="2"/>
  <c r="E82" i="2"/>
  <c r="E81" i="2"/>
  <c r="D81" i="2"/>
  <c r="F82" i="2"/>
  <c r="F81" i="2"/>
  <c r="D80" i="2"/>
  <c r="D73" i="2"/>
  <c r="E83" i="2"/>
  <c r="F83" i="2"/>
  <c r="E80" i="2"/>
  <c r="G73" i="2"/>
  <c r="G75" i="2"/>
  <c r="D77" i="2"/>
  <c r="D26" i="2"/>
  <c r="M48" i="2"/>
  <c r="G77" i="2"/>
  <c r="D27" i="2"/>
  <c r="E73" i="2"/>
  <c r="E75" i="2"/>
  <c r="E77" i="2"/>
  <c r="M47" i="2"/>
  <c r="F73" i="2"/>
  <c r="F75" i="2"/>
  <c r="F77" i="2"/>
  <c r="M49" i="2"/>
  <c r="D76" i="2"/>
  <c r="M50" i="2"/>
  <c r="E74" i="2"/>
  <c r="E76" i="2"/>
  <c r="D24" i="2"/>
  <c r="F74" i="2"/>
  <c r="F76" i="2"/>
  <c r="G74" i="2"/>
  <c r="G76" i="2"/>
  <c r="D26" i="1" l="1"/>
  <c r="O2" i="2"/>
  <c r="A1" i="2" l="1"/>
  <c r="D20" i="1" l="1"/>
  <c r="A2" i="2"/>
  <c r="F26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69" i="2"/>
  <c r="M68" i="2"/>
  <c r="M67" i="2"/>
  <c r="M66" i="2"/>
  <c r="M65" i="2"/>
  <c r="M64" i="2"/>
  <c r="M63" i="2"/>
  <c r="M62" i="2"/>
  <c r="M60" i="2"/>
  <c r="L69" i="2"/>
  <c r="L68" i="2"/>
  <c r="L67" i="2"/>
  <c r="L66" i="2"/>
  <c r="L65" i="2"/>
  <c r="L64" i="2"/>
  <c r="L63" i="2"/>
  <c r="L62" i="2"/>
  <c r="L61" i="2"/>
  <c r="L60" i="2"/>
  <c r="K69" i="2"/>
  <c r="K68" i="2"/>
  <c r="K67" i="2"/>
  <c r="K66" i="2"/>
  <c r="K65" i="2"/>
  <c r="K64" i="2"/>
  <c r="K63" i="2"/>
  <c r="K62" i="2"/>
  <c r="K61" i="2"/>
  <c r="K60" i="2"/>
  <c r="J69" i="2"/>
  <c r="J68" i="2"/>
  <c r="J67" i="2"/>
  <c r="J66" i="2"/>
  <c r="J65" i="2"/>
  <c r="J64" i="2"/>
  <c r="J63" i="2"/>
  <c r="J62" i="2"/>
  <c r="J61" i="2"/>
  <c r="J60" i="2"/>
  <c r="I69" i="2"/>
  <c r="I68" i="2"/>
  <c r="I67" i="2"/>
  <c r="I66" i="2"/>
  <c r="I65" i="2"/>
  <c r="I64" i="2"/>
  <c r="I63" i="2"/>
  <c r="I62" i="2"/>
  <c r="I61" i="2"/>
  <c r="I60" i="2"/>
  <c r="H69" i="2"/>
  <c r="H68" i="2"/>
  <c r="H67" i="2"/>
  <c r="H66" i="2"/>
  <c r="H65" i="2"/>
  <c r="H64" i="2"/>
  <c r="H63" i="2"/>
  <c r="H62" i="2"/>
  <c r="H61" i="2"/>
  <c r="H60" i="2"/>
  <c r="G69" i="2"/>
  <c r="G68" i="2"/>
  <c r="G67" i="2"/>
  <c r="G66" i="2"/>
  <c r="G65" i="2"/>
  <c r="G64" i="2"/>
  <c r="G63" i="2"/>
  <c r="G62" i="2"/>
  <c r="G61" i="2"/>
  <c r="G60" i="2"/>
  <c r="F69" i="2"/>
  <c r="F68" i="2"/>
  <c r="F67" i="2"/>
  <c r="F66" i="2"/>
  <c r="F65" i="2"/>
  <c r="F64" i="2"/>
  <c r="F63" i="2"/>
  <c r="F62" i="2"/>
  <c r="F61" i="2"/>
  <c r="F60" i="2"/>
  <c r="E69" i="2"/>
  <c r="E68" i="2"/>
  <c r="E67" i="2"/>
  <c r="E66" i="2"/>
  <c r="E65" i="2"/>
  <c r="E64" i="2"/>
  <c r="E63" i="2"/>
  <c r="E62" i="2"/>
  <c r="E61" i="2"/>
  <c r="E60" i="2"/>
  <c r="D69" i="2"/>
  <c r="D68" i="2"/>
  <c r="D67" i="2"/>
  <c r="D66" i="2"/>
  <c r="D65" i="2"/>
  <c r="D64" i="2"/>
  <c r="D63" i="2"/>
  <c r="D62" i="2"/>
  <c r="D61" i="2"/>
  <c r="D60" i="2"/>
  <c r="E34" i="1" l="1"/>
  <c r="D19" i="2" l="1"/>
  <c r="D18" i="2"/>
  <c r="D17" i="2"/>
  <c r="D16" i="2"/>
  <c r="D15" i="2"/>
  <c r="D14" i="2"/>
  <c r="D13" i="2"/>
  <c r="D10" i="2"/>
  <c r="D11" i="2"/>
  <c r="D12" i="2"/>
  <c r="C49" i="1" l="1"/>
  <c r="D12" i="3" l="1"/>
  <c r="F57" i="1"/>
  <c r="F53" i="1"/>
  <c r="F54" i="1"/>
  <c r="F51" i="1"/>
  <c r="F56" i="1"/>
  <c r="F52" i="1"/>
  <c r="F55" i="1"/>
  <c r="F59" i="1"/>
  <c r="F50" i="1"/>
  <c r="F58" i="1"/>
  <c r="C62" i="1"/>
  <c r="C69" i="1"/>
  <c r="F18" i="1"/>
  <c r="D23" i="3" l="1"/>
  <c r="G63" i="1"/>
  <c r="G66" i="1"/>
  <c r="G64" i="1"/>
  <c r="G65" i="1"/>
  <c r="D28" i="3"/>
  <c r="H72" i="1"/>
  <c r="H70" i="1"/>
  <c r="H71" i="1"/>
  <c r="R43" i="2"/>
  <c r="F19" i="1" l="1"/>
  <c r="I18" i="1"/>
  <c r="F20" i="1" l="1"/>
  <c r="I19" i="1"/>
  <c r="I20" i="1" s="1"/>
  <c r="H20" i="1"/>
  <c r="L1" i="2"/>
  <c r="I21" i="1" l="1"/>
  <c r="P33" i="2" s="1"/>
  <c r="P30" i="2" l="1"/>
  <c r="P32" i="2" s="1"/>
  <c r="J24" i="1" s="1"/>
  <c r="P41" i="2" l="1"/>
  <c r="I24" i="1"/>
  <c r="I22" i="1"/>
  <c r="F25" i="1"/>
  <c r="R41" i="2" l="1"/>
  <c r="F39" i="1"/>
  <c r="D32" i="3" s="1"/>
  <c r="I23" i="1"/>
  <c r="D35" i="3" s="1"/>
  <c r="P40" i="2"/>
  <c r="H25" i="1" s="1"/>
  <c r="H26" i="1" s="1"/>
  <c r="I25" i="1" l="1"/>
  <c r="I26" i="1" s="1"/>
  <c r="D27" i="1"/>
  <c r="R40" i="2"/>
  <c r="S41" i="2" s="1"/>
  <c r="T41" i="2" s="1"/>
  <c r="S45" i="2"/>
  <c r="S43" i="2"/>
  <c r="B27" i="1" l="1"/>
  <c r="D9" i="3"/>
  <c r="F41" i="1"/>
  <c r="D28" i="1" l="1"/>
  <c r="D36" i="3"/>
  <c r="F40" i="1" l="1"/>
  <c r="D33" i="3" s="1"/>
  <c r="D29" i="1"/>
  <c r="D10" i="3"/>
  <c r="D34" i="3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  <author>Matějka Jan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5" authorId="2" shapeId="0" xr:uid="{9DF7E15B-5C26-4865-BB22-65B1D4661E27}">
      <text>
        <r>
          <rPr>
            <b/>
            <sz val="9"/>
            <color indexed="81"/>
            <rFont val="Tahoma"/>
            <family val="2"/>
            <charset val="238"/>
          </rPr>
          <t>Matějka Jan: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% HODNOTY PAUŠÁLNÍHO FINANCOVÁNÍ NEPŘÍMÝCH NÁKLADŮ u SC 1.3 a 1.6</t>
        </r>
        <r>
          <rPr>
            <sz val="9"/>
            <color indexed="81"/>
            <rFont val="Tahoma"/>
            <family val="2"/>
            <charset val="238"/>
          </rPr>
          <t xml:space="preserve">
7% u projektů, jejichž celkové způsobilé přímé realizační výdaje nepřesahují 10 mil. Kč,
5% u projektů, jejichž celkové způsobilé přímé realizační výdaje jsou vyšší než 10 mil. Kč.
</t>
        </r>
        <r>
          <rPr>
            <b/>
            <sz val="9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<sst xmlns="http://schemas.openxmlformats.org/spreadsheetml/2006/main" count="328" uniqueCount="274">
  <si>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</si>
  <si>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</si>
  <si>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</si>
  <si>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</si>
  <si>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</si>
  <si>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</si>
  <si>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</si>
  <si>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</si>
  <si>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</si>
  <si>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</si>
  <si>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</si>
  <si>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</si>
  <si>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</si>
  <si>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</si>
  <si>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</si>
  <si>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</si>
  <si>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</si>
  <si>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</si>
  <si>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</si>
  <si>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</si>
  <si>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</si>
  <si>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</si>
  <si>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</si>
  <si>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</si>
  <si>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</si>
  <si>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</si>
  <si>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</si>
  <si>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</si>
  <si>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</si>
  <si>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</si>
  <si>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</si>
  <si>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</si>
  <si>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</si>
  <si>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</si>
  <si>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</si>
  <si>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</si>
  <si>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</si>
  <si>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</si>
  <si>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</si>
  <si>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</si>
  <si>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</si>
  <si>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</si>
  <si>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</si>
  <si>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</si>
  <si>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</si>
  <si>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</si>
  <si>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</si>
  <si>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</si>
  <si>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</si>
  <si>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</si>
  <si>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</si>
  <si>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</si>
  <si>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</si>
  <si>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</si>
  <si>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</si>
  <si>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</si>
  <si>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</si>
  <si>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</si>
  <si>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</si>
  <si>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</si>
  <si>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</si>
  <si>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</si>
  <si>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</si>
  <si>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</si>
  <si>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</si>
  <si>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</si>
  <si>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</si>
  <si>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</si>
  <si>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</si>
  <si>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</si>
  <si>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</si>
  <si>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</si>
  <si>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</si>
  <si>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</si>
  <si>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</si>
  <si>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</si>
  <si>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</si>
  <si>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</si>
  <si>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</si>
  <si>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</si>
  <si>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</si>
  <si>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</si>
  <si>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</si>
  <si>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</si>
  <si>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</si>
  <si>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</si>
  <si>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</si>
  <si>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</si>
  <si>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</si>
  <si>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</si>
  <si>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</si>
  <si>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</si>
  <si>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</si>
  <si>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</si>
  <si>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</si>
  <si>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</si>
  <si>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</si>
  <si>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</si>
  <si>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</si>
  <si>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</si>
  <si>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</si>
  <si>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</si>
  <si>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</si>
  <si>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</si>
  <si>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</si>
  <si>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</si>
  <si>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</si>
  <si>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</si>
  <si>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</si>
  <si>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</si>
  <si>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</si>
  <si>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</si>
  <si>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</si>
  <si>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</si>
  <si>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</si>
  <si>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</si>
  <si>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</si>
  <si>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</si>
  <si>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</si>
  <si>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</si>
  <si>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</si>
  <si>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</si>
  <si>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</si>
  <si>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</si>
  <si>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</si>
  <si>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</si>
  <si>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</si>
  <si>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</si>
  <si>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</si>
  <si>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</si>
  <si>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</si>
  <si>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</si>
  <si>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</si>
  <si>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</si>
  <si>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</si>
  <si>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</si>
  <si>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</si>
  <si>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</si>
  <si>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</si>
  <si>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</si>
  <si>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</si>
  <si>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</si>
  <si>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</si>
  <si>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</si>
  <si>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</si>
  <si>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</si>
  <si>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</si>
  <si>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</si>
  <si>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</si>
  <si>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</si>
  <si>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</si>
  <si>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</si>
  <si>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</si>
  <si>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</si>
  <si>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</si>
  <si>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</si>
  <si>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</si>
  <si>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</si>
  <si>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</si>
  <si>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</si>
  <si>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</si>
  <si>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</si>
  <si>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</si>
  <si>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</si>
  <si>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</si>
  <si>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</si>
  <si>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</si>
  <si>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</si>
  <si>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</si>
  <si>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</si>
  <si>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</si>
  <si>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</si>
  <si>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</si>
  <si>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</si>
  <si>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</si>
  <si>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</si>
  <si>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</si>
  <si>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</si>
  <si>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</si>
  <si>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</si>
  <si>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</si>
  <si>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</si>
  <si>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</si>
  <si>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</si>
  <si>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</si>
  <si>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</si>
  <si>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</si>
  <si>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</si>
  <si>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</si>
  <si>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</si>
  <si>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</si>
  <si>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</si>
  <si>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</si>
  <si>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</si>
  <si>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</si>
  <si>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</si>
  <si>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</si>
  <si>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</si>
  <si>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</si>
  <si>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</si>
  <si>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</si>
  <si>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</si>
  <si>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</si>
  <si>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</si>
  <si>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</si>
  <si>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</si>
  <si>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</si>
  <si>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</si>
  <si>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</si>
  <si>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</si>
  <si>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</si>
  <si>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</si>
  <si>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</si>
  <si>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1408/2013 </t>
  </si>
  <si>
    <t xml:space="preserve">de minimis 717/2014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</si>
  <si>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</si>
  <si>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</si>
  <si>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</si>
  <si>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</si>
  <si>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</si>
  <si>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</si>
  <si>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</si>
  <si>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</si>
  <si>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</si>
  <si>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</si>
  <si>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</si>
  <si>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</si>
  <si>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</si>
  <si>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</si>
  <si>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</si>
  <si>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</si>
  <si>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</si>
  <si>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</si>
  <si>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</si>
  <si>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</si>
  <si>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</si>
  <si>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</si>
  <si>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</si>
  <si>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</si>
  <si>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</si>
  <si>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</si>
  <si>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</si>
  <si>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</si>
  <si>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</si>
  <si>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</si>
  <si>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</si>
  <si>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</si>
  <si>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</si>
  <si>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</si>
  <si>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</si>
  <si>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DPH neuznatelné = Jsem plátce DPH a mám nárok na odpočet DPH ve vztahu k aktivitám projektu / CN &gt; 5mil eur dle kap. B.1.6.3 PrŽaP</t>
  </si>
  <si>
    <t>ABER článek 14</t>
  </si>
  <si>
    <t>ABER článek 36</t>
  </si>
  <si>
    <t>ABER článek 44</t>
  </si>
  <si>
    <t>ABER článek 50</t>
  </si>
  <si>
    <t>GBER ŽP článek 38 a)</t>
  </si>
  <si>
    <t>skut náklady PP</t>
  </si>
  <si>
    <t>1.3.1 Podpora přírodě blízkých opatření v krajině a sídlech -FS</t>
  </si>
  <si>
    <t>1.3.11 Podpora přírodě blízkých opatření v krajině a sídlech - ERDF</t>
  </si>
  <si>
    <t>4_11</t>
  </si>
  <si>
    <t>43_1</t>
  </si>
  <si>
    <t>1.3.11.1 Tvorba nových a obnova stávajících přírodě blízkých vodních prvků v krajině včetně sídel</t>
  </si>
  <si>
    <t>43_2</t>
  </si>
  <si>
    <t>1.3.11.2 Tvorba nových a obnova stávajících vegetačních prvků a struktur, včetně opatření proti vodní a větrné erozi</t>
  </si>
  <si>
    <t>1.3.11.1.1 Vytváření a obnova tůní (mokřadů)</t>
  </si>
  <si>
    <t>1.3.11.1.2 Malé vodní nádrže (MVN)</t>
  </si>
  <si>
    <t>1.3.11.2.1 Vegetační krajinné prvky (včetně skladebných prvků ÚSES)</t>
  </si>
  <si>
    <t>1.3.11.1.3 Revitalizace a renaturace vodních toků a niv</t>
  </si>
  <si>
    <t>1.3.11.1.4 Nákup nemovitostí pro podporu renaturačních procesů</t>
  </si>
  <si>
    <t>de minimis 2023/2832</t>
  </si>
  <si>
    <t>de minimis 2023/2831</t>
  </si>
  <si>
    <t>1.3.11.5 Odstranění či eliminace negativních funkcí odvodňovacích zařízení v krajině</t>
  </si>
  <si>
    <t>vyber Podaktivitu #5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</si>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</sst>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4" xfId="0" applyBorder="1"/>
    <xf numFmtId="0" fontId="0" fillId="0" borderId="42" xfId="0" applyBorder="1"/>
    <xf numFmtId="0" fontId="0" fillId="0" borderId="5" xfId="0" applyBorder="1"/>
    <xf numFmtId="0" fontId="13" fillId="8" borderId="0" xfId="0" applyFont="1" applyFill="1" applyAlignment="1" applyProtection="1">
      <alignment horizontal="right" vertical="center"/>
      <protection hidden="1"/>
    </xf>
    <xf numFmtId="0" fontId="13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8" borderId="44" xfId="0" applyFill="1" applyBorder="1" applyAlignment="1">
      <alignment horizontal="center" vertical="center"/>
    </xf>
    <xf numFmtId="4" fontId="0" fillId="0" borderId="45" xfId="0" applyNumberFormat="1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3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0" fontId="0" fillId="8" borderId="31" xfId="0" applyFill="1" applyBorder="1" applyAlignment="1" applyProtection="1">
      <alignment vertical="center"/>
      <protection hidden="1"/>
    </xf>
    <xf numFmtId="4" fontId="0" fillId="8" borderId="33" xfId="0" applyNumberFormat="1" applyFill="1" applyBorder="1" applyAlignment="1" applyProtection="1">
      <alignment horizontal="center" vertical="center"/>
      <protection hidden="1"/>
    </xf>
    <xf numFmtId="4" fontId="0" fillId="8" borderId="32" xfId="0" applyNumberFormat="1" applyFill="1" applyBorder="1" applyAlignment="1" applyProtection="1">
      <alignment horizontal="center" vertical="center"/>
      <protection hidden="1"/>
    </xf>
    <xf numFmtId="0" fontId="0" fillId="8" borderId="32" xfId="0" applyFill="1" applyBorder="1" applyAlignment="1" applyProtection="1">
      <alignment horizontal="center" vertical="center"/>
      <protection hidden="1"/>
    </xf>
    <xf numFmtId="4" fontId="0" fillId="9" borderId="34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3" fillId="8" borderId="0" xfId="0" applyNumberFormat="1" applyFont="1" applyFill="1" applyAlignment="1" applyProtection="1">
      <alignment horizontal="center" vertical="center"/>
      <protection hidden="1"/>
    </xf>
    <xf numFmtId="4" fontId="13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5" xfId="0" applyFont="1" applyFill="1" applyBorder="1" applyAlignment="1" applyProtection="1">
      <alignment horizontal="center" vertical="center"/>
      <protection hidden="1"/>
    </xf>
    <xf numFmtId="0" fontId="3" fillId="8" borderId="33" xfId="0" applyFont="1" applyFill="1" applyBorder="1" applyAlignment="1" applyProtection="1">
      <alignment vertical="center" wrapText="1"/>
      <protection hidden="1"/>
    </xf>
    <xf numFmtId="4" fontId="3" fillId="8" borderId="34" xfId="0" applyNumberFormat="1" applyFont="1" applyFill="1" applyBorder="1" applyAlignment="1" applyProtection="1">
      <alignment horizontal="center" vertical="center" wrapText="1"/>
      <protection hidden="1"/>
    </xf>
    <xf numFmtId="4" fontId="13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38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7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8" fillId="8" borderId="37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6" fillId="8" borderId="0" xfId="0" applyNumberFormat="1" applyFont="1" applyFill="1" applyAlignment="1" applyProtection="1">
      <alignment vertical="center"/>
      <protection hidden="1"/>
    </xf>
    <xf numFmtId="0" fontId="0" fillId="8" borderId="38" xfId="0" applyFill="1" applyBorder="1" applyAlignment="1" applyProtection="1">
      <alignment vertical="center"/>
      <protection hidden="1"/>
    </xf>
    <xf numFmtId="165" fontId="1" fillId="8" borderId="63" xfId="0" applyNumberFormat="1" applyFont="1" applyFill="1" applyBorder="1" applyAlignment="1" applyProtection="1">
      <alignment vertical="center"/>
      <protection hidden="1"/>
    </xf>
    <xf numFmtId="165" fontId="1" fillId="8" borderId="40" xfId="0" applyNumberFormat="1" applyFont="1" applyFill="1" applyBorder="1" applyAlignment="1" applyProtection="1">
      <alignment vertical="center"/>
      <protection hidden="1"/>
    </xf>
    <xf numFmtId="0" fontId="16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4" fontId="16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1" xfId="0" applyNumberFormat="1" applyFont="1" applyFill="1" applyBorder="1" applyAlignment="1" applyProtection="1">
      <alignment vertical="center" wrapText="1"/>
      <protection hidden="1"/>
    </xf>
    <xf numFmtId="0" fontId="0" fillId="8" borderId="43" xfId="0" applyFill="1" applyBorder="1" applyAlignment="1" applyProtection="1">
      <alignment horizontal="left" vertical="center"/>
      <protection hidden="1"/>
    </xf>
    <xf numFmtId="0" fontId="0" fillId="0" borderId="52" xfId="0" applyBorder="1" applyAlignment="1">
      <alignment horizontal="center" vertical="center" wrapText="1"/>
    </xf>
    <xf numFmtId="4" fontId="0" fillId="0" borderId="53" xfId="0" applyNumberFormat="1" applyBorder="1" applyAlignment="1">
      <alignment horizontal="left" vertical="center" wrapText="1"/>
    </xf>
    <xf numFmtId="0" fontId="10" fillId="14" borderId="46" xfId="0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left" vertical="center" wrapText="1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9" xfId="0" applyBorder="1"/>
    <xf numFmtId="0" fontId="0" fillId="0" borderId="70" xfId="0" applyBorder="1"/>
    <xf numFmtId="0" fontId="0" fillId="9" borderId="64" xfId="0" applyFill="1" applyBorder="1"/>
    <xf numFmtId="0" fontId="0" fillId="9" borderId="30" xfId="0" applyFill="1" applyBorder="1"/>
    <xf numFmtId="0" fontId="0" fillId="0" borderId="30" xfId="0" applyBorder="1"/>
    <xf numFmtId="0" fontId="0" fillId="12" borderId="68" xfId="0" applyFill="1" applyBorder="1"/>
    <xf numFmtId="0" fontId="0" fillId="12" borderId="66" xfId="0" applyFill="1" applyBorder="1"/>
    <xf numFmtId="0" fontId="1" fillId="6" borderId="43" xfId="0" applyFont="1" applyFill="1" applyBorder="1"/>
    <xf numFmtId="0" fontId="0" fillId="8" borderId="11" xfId="0" applyFill="1" applyBorder="1" applyAlignment="1">
      <alignment vertical="center"/>
    </xf>
    <xf numFmtId="0" fontId="4" fillId="0" borderId="0" xfId="0" applyFont="1"/>
    <xf numFmtId="0" fontId="22" fillId="0" borderId="0" xfId="0" applyFont="1"/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38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4" fontId="11" fillId="3" borderId="32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4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0" fillId="0" borderId="55" xfId="0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 wrapText="1"/>
      <protection hidden="1"/>
    </xf>
    <xf numFmtId="0" fontId="20" fillId="0" borderId="2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4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1" val="3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3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3"/>
  <sheetViews>
    <sheetView tabSelected="1" zoomScale="85" zoomScaleNormal="85" workbookViewId="0">
      <selection activeCell="C5" sqref="C5:F5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76" t="s">
        <v>0</v>
      </c>
      <c r="C2" s="176"/>
      <c r="D2" s="176"/>
      <c r="E2" s="17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249</v>
      </c>
      <c r="D3" s="177" t="s">
        <v>121</v>
      </c>
      <c r="E3" s="177"/>
      <c r="F3" s="177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9"/>
      <c r="D5" s="179"/>
      <c r="E5" s="179"/>
      <c r="F5" s="180"/>
      <c r="H5" s="54"/>
      <c r="I5" s="173"/>
      <c r="J5" s="173"/>
    </row>
    <row r="6" spans="2:12" ht="20.100000000000001" customHeight="1" thickBot="1" x14ac:dyDescent="0.3">
      <c r="B6" s="57" t="s">
        <v>2</v>
      </c>
      <c r="C6" s="181"/>
      <c r="D6" s="181"/>
      <c r="E6" s="181"/>
      <c r="F6" s="182"/>
      <c r="G6" s="54"/>
      <c r="I6" s="173"/>
      <c r="J6" s="17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74"/>
      <c r="J8" s="174"/>
      <c r="K8" s="52"/>
      <c r="L8" s="52"/>
    </row>
    <row r="9" spans="2:12" ht="18.75" customHeight="1" thickBot="1" x14ac:dyDescent="0.3">
      <c r="B9" s="60" t="s">
        <v>4</v>
      </c>
      <c r="G9" s="129" t="s">
        <v>237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238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124</v>
      </c>
      <c r="G11" s="61" t="s">
        <v>239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123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19"/>
      <c r="C17" s="66"/>
      <c r="D17" s="67" t="s">
        <v>158</v>
      </c>
      <c r="E17" s="68" t="s">
        <v>71</v>
      </c>
      <c r="F17" s="69" t="s">
        <v>159</v>
      </c>
      <c r="G17" s="67" t="s">
        <v>160</v>
      </c>
      <c r="H17" s="70" t="s">
        <v>70</v>
      </c>
      <c r="I17" s="71" t="s">
        <v>161</v>
      </c>
      <c r="J17" s="184"/>
    </row>
    <row r="18" spans="2:12" ht="15.75" thickTop="1" x14ac:dyDescent="0.25">
      <c r="B18" s="178" t="s">
        <v>69</v>
      </c>
      <c r="C18" s="153" t="s">
        <v>273</v>
      </c>
      <c r="D18" s="134">
        <v>0</v>
      </c>
      <c r="E18" s="136">
        <v>21</v>
      </c>
      <c r="F18" s="72">
        <f>D18*(1+(E18/100))</f>
        <v>0</v>
      </c>
      <c r="G18" s="134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t="15.75" thickBot="1" x14ac:dyDescent="0.3">
      <c r="B19" s="183"/>
      <c r="C19" s="118" t="s">
        <v>68</v>
      </c>
      <c r="D19" s="135">
        <v>0</v>
      </c>
      <c r="E19" s="137">
        <v>21</v>
      </c>
      <c r="F19" s="75">
        <f t="shared" ref="F19" si="0">D19*(1+(E19/100))</f>
        <v>0</v>
      </c>
      <c r="G19" s="135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" si="1">IFERROR(F19-H19,"zadej výdaje/uznatelnost DPH")</f>
        <v>zadej výdaje/uznatelnost DPH</v>
      </c>
      <c r="J19" s="78"/>
      <c r="K19" s="78"/>
    </row>
    <row r="20" spans="2:12" ht="16.5" thickTop="1" thickBot="1" x14ac:dyDescent="0.3">
      <c r="B20" s="120"/>
      <c r="C20" s="79" t="s">
        <v>72</v>
      </c>
      <c r="D20" s="80">
        <f>SUM(D18:D19)</f>
        <v>0</v>
      </c>
      <c r="E20" s="81"/>
      <c r="F20" s="80">
        <f>SUM(F18:F19)</f>
        <v>0</v>
      </c>
      <c r="G20" s="82"/>
      <c r="H20" s="80">
        <f>SUM(H18:H19)</f>
        <v>0</v>
      </c>
      <c r="I20" s="83" t="str">
        <f>IFERROR(I18+I19,"zadej výdaje/uznatelnost DPH")</f>
        <v>zadej výdaje/uznatelnost DPH</v>
      </c>
      <c r="J20" s="84" t="s">
        <v>80</v>
      </c>
      <c r="K20" s="78"/>
    </row>
    <row r="21" spans="2:12" ht="15.75" thickTop="1" x14ac:dyDescent="0.25">
      <c r="D21" s="78"/>
      <c r="E21" s="78"/>
      <c r="F21" s="78"/>
      <c r="G21" s="78"/>
      <c r="H21" s="78"/>
      <c r="I21" s="85" t="str">
        <f>IFERROR(I18+I19,"zadej výdaje/uznatelnost DPH")</f>
        <v>zadej výdaje/uznatelnost DPH</v>
      </c>
      <c r="J21" s="86" t="s">
        <v>79</v>
      </c>
      <c r="K21" s="78"/>
    </row>
    <row r="22" spans="2:12" ht="33.75" customHeight="1" x14ac:dyDescent="0.25">
      <c r="D22" s="175"/>
      <c r="E22" s="175"/>
      <c r="F22" s="175"/>
      <c r="G22" s="175"/>
      <c r="H22" s="64"/>
      <c r="I22" s="87">
        <f>IFERROR(I21*zdroj!P30,0)</f>
        <v>0</v>
      </c>
      <c r="J22" s="88" t="s">
        <v>212</v>
      </c>
      <c r="K22" s="127"/>
    </row>
    <row r="23" spans="2:12" ht="15.75" thickBot="1" x14ac:dyDescent="0.3">
      <c r="D23" s="78"/>
      <c r="E23" s="78"/>
      <c r="F23" s="78"/>
      <c r="G23" s="78"/>
      <c r="H23" s="78"/>
      <c r="I23" s="88">
        <f>CHOOSE(zdroj!P26,KR!I24,KR!I24,I24,0)</f>
        <v>0</v>
      </c>
      <c r="J23" s="88"/>
      <c r="K23" s="127"/>
    </row>
    <row r="24" spans="2:12" ht="33.75" customHeight="1" thickTop="1" thickBot="1" x14ac:dyDescent="0.3">
      <c r="B24" s="89" t="s">
        <v>118</v>
      </c>
      <c r="C24" s="90" t="s">
        <v>119</v>
      </c>
      <c r="D24" s="171" t="s">
        <v>164</v>
      </c>
      <c r="E24" s="171"/>
      <c r="F24" s="171"/>
      <c r="G24" s="171"/>
      <c r="H24" s="172"/>
      <c r="I24" s="91" t="str">
        <f>IF(OR(J24&lt;=15000000,J24="zadej výdaje/uznatelnost DPH"),J24,15000000)</f>
        <v>zadej výdaje/uznatelnost DPH</v>
      </c>
      <c r="J24" s="92" t="str">
        <f>IFERROR(IF(OR(zdroj!P2=1,zdroj!P2=2,zdroj!P2=3,zdroj!P2=4,zdroj!P2=5,zdroj!P2=15,zdroj!P2=18,),zdroj!P32*KR!I21,0),"zadej výdaje/uznatelnost DPH")</f>
        <v>zadej výdaje/uznatelnost DPH</v>
      </c>
      <c r="K24" s="121"/>
      <c r="L24" s="125"/>
    </row>
    <row r="25" spans="2:12" ht="39.75" customHeight="1" thickTop="1" thickBot="1" x14ac:dyDescent="0.3">
      <c r="B25" s="93" t="s">
        <v>118</v>
      </c>
      <c r="C25" s="94" t="s">
        <v>119</v>
      </c>
      <c r="D25" s="138">
        <v>0</v>
      </c>
      <c r="E25" s="139">
        <v>21</v>
      </c>
      <c r="F25" s="95">
        <f>D25*(1+(E25/100))</f>
        <v>0</v>
      </c>
      <c r="G25" s="138">
        <v>0</v>
      </c>
      <c r="H25" s="96" t="str">
        <f>CHOOSE(zdroj!$P$26,IF(zdroj!P40&gt;zdroj!P41,zdroj!P40-zdroj!P41+(G25*(1+(E25/100))),G25*(1+(KR!E25/100))),IF(zdroj!P40&gt;zdroj!P41,zdroj!P40-zdroj!P41+D25*(E25/100)+G25,D25*(KR!E25/100)+G25),IF(zdroj!P40&gt;zdroj!P41,zdroj!P40-zdroj!P41+G25*(1+(E25/100)),G25*(1+(KR!E25/100))),"vyber plátce DPH")</f>
        <v>vyber plátce DPH</v>
      </c>
      <c r="I25" s="97" t="str">
        <f>IFERROR(IF(zdroj!P40&gt;zdroj!P41,zdroj!P41,F25-H25),"zadej výdaje/uznatelnost DPH")</f>
        <v>zadej výdaje/uznatelnost DPH</v>
      </c>
      <c r="J25" s="121"/>
      <c r="K25" s="121"/>
      <c r="L25" s="125"/>
    </row>
    <row r="26" spans="2:12" ht="16.5" customHeight="1" thickBot="1" x14ac:dyDescent="0.3">
      <c r="D26" s="87">
        <f>CHOOSE(zdroj!P2,0,0,0,0,0,KR!D25,KR!D25,KR!D25,KR!D25,KR!D25,KR!D25,KR!D25,KR!D25,KR!D25,0,KR!D25,KR!D25,0,KR!D25,KR!D25,KR!D25,KR!D25,KR!D25)</f>
        <v>0</v>
      </c>
      <c r="E26" s="98"/>
      <c r="F26" s="98">
        <f>(D26)*(1+(E25/100))</f>
        <v>0</v>
      </c>
      <c r="G26" s="25"/>
      <c r="H26" s="98">
        <f>CHOOSE(zdroj!P2,0,0,0,0,0,KR!H25,KR!H25,KR!H25,KR!H25,KR!H25,KR!H25,KR!H25,KR!H25,KR!H25,0,KR!H25,KR!H25,0,KR!H25,H25,H25,H25,H25)</f>
        <v>0</v>
      </c>
      <c r="I26" s="98">
        <f>CHOOSE(zdroj!P2,0,0,0,0,0,KR!I25,KR!I25,KR!I25,KR!I25,KR!I25,KR!I25,KR!I25,KR!I25,KR!I25,0,KR!I25,KR!I25,0,KR!I25,I25,I25,I25,I25)</f>
        <v>0</v>
      </c>
      <c r="J26" s="125"/>
      <c r="K26" s="125"/>
      <c r="L26" s="125"/>
    </row>
    <row r="27" spans="2:12" ht="15.75" customHeight="1" thickTop="1" thickBot="1" x14ac:dyDescent="0.3">
      <c r="B27" s="25">
        <f>IF(D27="zadej výdaje/DPH",0,D27)</f>
        <v>0</v>
      </c>
      <c r="C27" s="99" t="s">
        <v>157</v>
      </c>
      <c r="D27" s="100" t="str">
        <f>IFERROR(IF(ROUND(F20+I23+F26,0)=0,"zadej výdaje/DPH",ROUND(F20+I23+F26,0)),"zadej výdaje/DPH")</f>
        <v>zadej výdaje/DPH</v>
      </c>
      <c r="E27" s="64"/>
      <c r="F27" s="64"/>
      <c r="H27" s="101"/>
      <c r="I27" s="101"/>
      <c r="J27" s="125"/>
      <c r="K27" s="125"/>
      <c r="L27" s="125"/>
    </row>
    <row r="28" spans="2:12" ht="15.75" thickTop="1" x14ac:dyDescent="0.25">
      <c r="C28" s="102" t="s">
        <v>229</v>
      </c>
      <c r="D28" s="103" t="str">
        <f>IFERROR(IF(ROUND(I20+I24+I26,0)=0,"zadej výdaje/DPH",ROUND(I20+I24+I26,0)),"zadej výdaje/DPH")</f>
        <v>zadej výdaje/DPH</v>
      </c>
      <c r="E28" s="104"/>
      <c r="F28" s="64"/>
      <c r="G28" s="105" t="s">
        <v>120</v>
      </c>
      <c r="H28" s="106"/>
      <c r="I28" s="107"/>
    </row>
    <row r="29" spans="2:12" ht="15.75" thickBot="1" x14ac:dyDescent="0.3">
      <c r="C29" s="108" t="s">
        <v>230</v>
      </c>
      <c r="D29" s="109" t="str">
        <f>IFERROR(ROUND(D27-D28,0),"zadej výdaje/DPH")</f>
        <v>zadej výdaje/DPH</v>
      </c>
      <c r="E29" s="64"/>
      <c r="F29" s="64"/>
      <c r="G29" s="165" t="s">
        <v>88</v>
      </c>
      <c r="H29" s="166"/>
      <c r="I29" s="167"/>
    </row>
    <row r="30" spans="2:12" ht="15.75" thickTop="1" x14ac:dyDescent="0.25">
      <c r="D30" s="64"/>
      <c r="E30" s="64"/>
      <c r="F30" s="64"/>
      <c r="G30" s="165"/>
      <c r="H30" s="166"/>
      <c r="I30" s="167"/>
    </row>
    <row r="31" spans="2:12" x14ac:dyDescent="0.25">
      <c r="G31" s="165"/>
      <c r="H31" s="166"/>
      <c r="I31" s="167"/>
    </row>
    <row r="32" spans="2:12" x14ac:dyDescent="0.25">
      <c r="G32" s="165"/>
      <c r="H32" s="166"/>
      <c r="I32" s="167"/>
    </row>
    <row r="33" spans="2:9" ht="24" customHeight="1" x14ac:dyDescent="0.25">
      <c r="G33" s="165"/>
      <c r="H33" s="166"/>
      <c r="I33" s="167"/>
    </row>
    <row r="34" spans="2:9" ht="24" customHeight="1" thickBot="1" x14ac:dyDescent="0.35">
      <c r="C34" s="110" t="s">
        <v>162</v>
      </c>
      <c r="D34" s="140" t="s">
        <v>163</v>
      </c>
      <c r="E34" s="141">
        <f ca="1">TODAY()</f>
        <v>45846</v>
      </c>
      <c r="G34" s="168"/>
      <c r="H34" s="169"/>
      <c r="I34" s="170"/>
    </row>
    <row r="35" spans="2:9" ht="15" customHeight="1" thickTop="1" x14ac:dyDescent="0.25"/>
    <row r="36" spans="2:9" ht="35.1" customHeight="1" x14ac:dyDescent="0.25">
      <c r="G36" s="111"/>
      <c r="H36" s="111"/>
      <c r="I36" s="111"/>
    </row>
    <row r="37" spans="2:9" ht="15.75" x14ac:dyDescent="0.25">
      <c r="G37" s="112"/>
      <c r="H37" s="112"/>
      <c r="I37" s="112"/>
    </row>
    <row r="38" spans="2:9" ht="24" thickBot="1" x14ac:dyDescent="0.3">
      <c r="C38" s="126" t="s">
        <v>231</v>
      </c>
    </row>
    <row r="39" spans="2:9" ht="34.5" customHeight="1" thickTop="1" x14ac:dyDescent="0.25">
      <c r="B39" s="122"/>
      <c r="C39" s="156" t="s">
        <v>234</v>
      </c>
      <c r="D39" s="157"/>
      <c r="E39" s="158"/>
      <c r="F39" s="128" t="str">
        <f>IF(J24="zadej výdaje/uznatelnost DPH","zadej výdaje/DPH",IF(OR(zdroj!P2=1,zdroj!P2=2,zdroj!P2=3,zdroj!P2=4,zdroj!P2=5,zdroj!P2=15,zdroj!P2=18,zdroj!P2=19),IF(KR!J24&gt;15000000,428571425.5,I20),0))</f>
        <v>zadej výdaje/DPH</v>
      </c>
    </row>
    <row r="40" spans="2:9" ht="34.5" customHeight="1" x14ac:dyDescent="0.25">
      <c r="B40" s="122"/>
      <c r="C40" s="159" t="s">
        <v>235</v>
      </c>
      <c r="D40" s="160"/>
      <c r="E40" s="161"/>
      <c r="F40" s="123" t="str">
        <f>IF(J24="zadej výdaje/uznatelnost DPH","zadej výdaje/DPH",IF(OR(zdroj!P2=1,zdroj!P2=2,zdroj!P2=3,zdroj!P2=4,zdroj!P2=5,zdroj!P2=15,zdroj!P2=18,zdroj!P2=19),IF(KR!J24&gt;15000000,(KR!I20-428571425.5),0),KR!D28))</f>
        <v>zadej výdaje/DPH</v>
      </c>
      <c r="G40" s="185"/>
      <c r="H40" s="186"/>
    </row>
    <row r="41" spans="2:9" ht="34.5" customHeight="1" thickBot="1" x14ac:dyDescent="0.3">
      <c r="B41" s="122"/>
      <c r="C41" s="162" t="s">
        <v>236</v>
      </c>
      <c r="D41" s="163"/>
      <c r="E41" s="164"/>
      <c r="F41" s="124" t="str">
        <f>IFERROR((F20+I23+F26)-(I20+I24+I26),"zadej výdaje/DPH")</f>
        <v>zadej výdaje/DPH</v>
      </c>
    </row>
    <row r="42" spans="2:9" ht="15.75" thickTop="1" x14ac:dyDescent="0.25">
      <c r="C42" s="125" t="s">
        <v>232</v>
      </c>
    </row>
    <row r="43" spans="2:9" x14ac:dyDescent="0.25">
      <c r="C43" s="125" t="s">
        <v>233</v>
      </c>
    </row>
    <row r="48" spans="2:9" x14ac:dyDescent="0.25">
      <c r="B48" s="25"/>
      <c r="C48" s="25" t="s">
        <v>189</v>
      </c>
      <c r="D48" s="25"/>
      <c r="E48" s="25"/>
      <c r="F48" s="25"/>
      <c r="G48" s="25"/>
    </row>
    <row r="49" spans="2:8" x14ac:dyDescent="0.25">
      <c r="B49" s="24" t="s">
        <v>195</v>
      </c>
      <c r="C49" s="25" t="str">
        <f>CHOOSE(zdroj!C10,zdroj!D10,zdroj!D11,zdroj!D12,zdroj!D13,zdroj!D14,zdroj!D15,zdroj!D16,zdroj!D17,zdroj!D18,zdroj!D19,zdroj!D20)</f>
        <v>1.3.11 Podpora přírodě blízkých opatření v krajině a sídlech - ERDF</v>
      </c>
      <c r="D49" s="25"/>
      <c r="E49" s="25"/>
      <c r="F49" s="25"/>
      <c r="G49" s="25"/>
      <c r="H49" s="48" t="s">
        <v>122</v>
      </c>
    </row>
    <row r="50" spans="2:8" x14ac:dyDescent="0.25">
      <c r="B50" s="114"/>
      <c r="C50" s="113" t="s">
        <v>179</v>
      </c>
      <c r="D50" s="25"/>
      <c r="E50" s="25"/>
      <c r="F50" s="25" t="str">
        <f>IF(C49=C50,"Duplicita Opatření","")</f>
        <v/>
      </c>
      <c r="G50" s="25"/>
      <c r="H50" s="48" t="s">
        <v>122</v>
      </c>
    </row>
    <row r="51" spans="2:8" x14ac:dyDescent="0.25">
      <c r="B51" s="114"/>
      <c r="C51" s="113" t="s">
        <v>180</v>
      </c>
      <c r="D51" s="25"/>
      <c r="E51" s="25"/>
      <c r="F51" s="25" t="str">
        <f>IF(OR(C49=C51,C50=C51),"Duplicita Opatření","")</f>
        <v/>
      </c>
      <c r="G51" s="25"/>
      <c r="H51" s="48" t="s">
        <v>122</v>
      </c>
    </row>
    <row r="52" spans="2:8" x14ac:dyDescent="0.25">
      <c r="B52" s="114"/>
      <c r="C52" s="113" t="s">
        <v>181</v>
      </c>
      <c r="D52" s="25"/>
      <c r="E52" s="25"/>
      <c r="F52" s="25" t="str">
        <f>IF(OR(C52=C51,C52=C50,C52=C49),"Duplicita Opatření","")</f>
        <v/>
      </c>
      <c r="G52" s="25"/>
      <c r="H52" s="48" t="s">
        <v>122</v>
      </c>
    </row>
    <row r="53" spans="2:8" x14ac:dyDescent="0.25">
      <c r="B53" s="114"/>
      <c r="C53" s="113" t="s">
        <v>182</v>
      </c>
      <c r="D53" s="25"/>
      <c r="E53" s="25"/>
      <c r="F53" s="25" t="str">
        <f>IF(OR(C51=C53,C53=C52,C53=C50,C53=C49),"Duplicita Opatření","")</f>
        <v/>
      </c>
      <c r="G53" s="25"/>
      <c r="H53" s="48" t="s">
        <v>122</v>
      </c>
    </row>
    <row r="54" spans="2:8" x14ac:dyDescent="0.25">
      <c r="B54" s="114"/>
      <c r="C54" s="113" t="s">
        <v>183</v>
      </c>
      <c r="D54" s="25"/>
      <c r="E54" s="25"/>
      <c r="F54" s="25" t="str">
        <f>IF(OR(C54=C53,C54=C52,C54=C51,C54=C50,C54=C49),"Duplicita Opatření","")</f>
        <v/>
      </c>
      <c r="G54" s="25"/>
      <c r="H54" s="48" t="s">
        <v>122</v>
      </c>
    </row>
    <row r="55" spans="2:8" x14ac:dyDescent="0.25">
      <c r="B55" s="114"/>
      <c r="C55" s="113" t="s">
        <v>184</v>
      </c>
      <c r="D55" s="25"/>
      <c r="E55" s="25"/>
      <c r="F55" s="25" t="str">
        <f>IF(OR(C55=C54,C55=C53,C55=C52,C55=C51,C55=C50,C55=C49),"Duplicita Opatření","")</f>
        <v/>
      </c>
      <c r="G55" s="25"/>
      <c r="H55" s="48" t="s">
        <v>122</v>
      </c>
    </row>
    <row r="56" spans="2:8" x14ac:dyDescent="0.25">
      <c r="B56" s="114"/>
      <c r="C56" s="113" t="s">
        <v>185</v>
      </c>
      <c r="D56" s="25"/>
      <c r="E56" s="25"/>
      <c r="F56" s="25" t="str">
        <f>IF(OR($C$54=C56,$C$55=C56,$C$53=C56,$C$52=C56,$C$51=C56,$C$50=C56,$C$49=C56),"Duplicita Opatření","")</f>
        <v/>
      </c>
      <c r="G56" s="25"/>
      <c r="H56" s="48" t="s">
        <v>122</v>
      </c>
    </row>
    <row r="57" spans="2:8" x14ac:dyDescent="0.25">
      <c r="B57" s="114"/>
      <c r="C57" s="113" t="s">
        <v>186</v>
      </c>
      <c r="D57" s="25"/>
      <c r="E57" s="25"/>
      <c r="F57" s="25" t="str">
        <f>IF(OR($C$56=C57,$C$54=C57,$C$55=C57,$C$53=C57,$C$52=C57,$C$51=C57,$C$50=C57,$C$49=C57),"Duplicita Opatření","")</f>
        <v/>
      </c>
      <c r="G57" s="25"/>
      <c r="H57" s="48" t="s">
        <v>122</v>
      </c>
    </row>
    <row r="58" spans="2:8" x14ac:dyDescent="0.25">
      <c r="B58" s="114"/>
      <c r="C58" s="113" t="s">
        <v>187</v>
      </c>
      <c r="D58" s="25"/>
      <c r="E58" s="25"/>
      <c r="F58" s="25" t="str">
        <f>IF(OR($C$57=C58,$C$56=C58,$C$54=C58,$C$55=C58,$C$53=C58,$C$52=C58,$C$51=C58,$C$50=C58,$C$49=C58),"Duplicita Opatření","")</f>
        <v/>
      </c>
      <c r="G58" s="25"/>
      <c r="H58" s="48" t="s">
        <v>122</v>
      </c>
    </row>
    <row r="59" spans="2:8" x14ac:dyDescent="0.25">
      <c r="B59" s="114"/>
      <c r="C59" s="113" t="s">
        <v>188</v>
      </c>
      <c r="D59" s="25"/>
      <c r="E59" s="25"/>
      <c r="F59" s="25" t="str">
        <f>IF(OR(C58=C59,$C$57=C59,$C$56=C59,$C$54=C59,$C$55=C59,$C$53=C59,$C$52=C59,$C$51=C59,$C$50=C59,$C$49=C59),"Duplicita Opatření","")</f>
        <v/>
      </c>
      <c r="G59" s="25"/>
      <c r="H59" s="48" t="s">
        <v>122</v>
      </c>
    </row>
    <row r="60" spans="2:8" x14ac:dyDescent="0.25">
      <c r="H60" s="48" t="s">
        <v>122</v>
      </c>
    </row>
    <row r="61" spans="2:8" x14ac:dyDescent="0.25">
      <c r="B61" s="25"/>
      <c r="C61" s="26" t="s">
        <v>196</v>
      </c>
      <c r="D61" s="26"/>
      <c r="E61" s="25"/>
      <c r="F61" s="25"/>
      <c r="G61" s="25"/>
    </row>
    <row r="62" spans="2:8" x14ac:dyDescent="0.25">
      <c r="B62" s="24" t="s">
        <v>194</v>
      </c>
      <c r="C62" s="25" t="str">
        <f>CHOOSE(zdroj!B24,zdroj!D23,zdroj!D24,zdroj!D25,zdroj!D26,zdroj!D27)</f>
        <v>1.3.11.5 Odstranění či eliminace negativních funkcí odvodňovacích zařízení v krajině</v>
      </c>
      <c r="D62" s="25"/>
      <c r="E62" s="25"/>
      <c r="F62" s="25"/>
      <c r="G62" s="25"/>
      <c r="H62" s="48" t="s">
        <v>122</v>
      </c>
    </row>
    <row r="63" spans="2:8" x14ac:dyDescent="0.25">
      <c r="B63" s="25"/>
      <c r="C63" s="113" t="s">
        <v>190</v>
      </c>
      <c r="D63" s="25"/>
      <c r="E63" s="25"/>
      <c r="F63" s="25"/>
      <c r="G63" s="25" t="str">
        <f>IF(C63=C62,"Duplicita Aktivit","")</f>
        <v/>
      </c>
      <c r="H63" s="48" t="s">
        <v>122</v>
      </c>
    </row>
    <row r="64" spans="2:8" x14ac:dyDescent="0.25">
      <c r="B64" s="25"/>
      <c r="C64" s="113" t="s">
        <v>191</v>
      </c>
      <c r="D64" s="25"/>
      <c r="E64" s="25"/>
      <c r="F64" s="25"/>
      <c r="G64" s="25" t="str">
        <f>IF(OR(C64=$C$63,C64=$C$62),"Duplicita Aktivit","")</f>
        <v/>
      </c>
      <c r="H64" s="48" t="s">
        <v>122</v>
      </c>
    </row>
    <row r="65" spans="2:8" x14ac:dyDescent="0.25">
      <c r="B65" s="25"/>
      <c r="C65" s="113" t="s">
        <v>192</v>
      </c>
      <c r="D65" s="25"/>
      <c r="E65" s="25"/>
      <c r="F65" s="25"/>
      <c r="G65" s="25" t="str">
        <f>IF(OR(C65=$C$64,C65=$C$63,C65=$C$62),"Duplicita Aktivit","")</f>
        <v/>
      </c>
      <c r="H65" s="48" t="s">
        <v>122</v>
      </c>
    </row>
    <row r="66" spans="2:8" x14ac:dyDescent="0.25">
      <c r="B66" s="25"/>
      <c r="C66" s="113" t="s">
        <v>193</v>
      </c>
      <c r="D66" s="25"/>
      <c r="E66" s="25"/>
      <c r="F66" s="25"/>
      <c r="G66" s="25" t="str">
        <f>IF(OR(C66=$C$65,C66=$C$64,C66=$C$63,C66=$C$62),"Duplicita Aktivit","")</f>
        <v/>
      </c>
      <c r="H66" s="48" t="s">
        <v>122</v>
      </c>
    </row>
    <row r="67" spans="2:8" x14ac:dyDescent="0.25">
      <c r="H67" s="48" t="s">
        <v>122</v>
      </c>
    </row>
    <row r="68" spans="2:8" x14ac:dyDescent="0.25">
      <c r="B68" s="25"/>
      <c r="C68" s="26" t="s">
        <v>197</v>
      </c>
      <c r="D68" s="25"/>
      <c r="E68" s="25"/>
      <c r="F68" s="25"/>
      <c r="G68" s="25"/>
    </row>
    <row r="69" spans="2:8" x14ac:dyDescent="0.25">
      <c r="B69" s="24" t="s">
        <v>198</v>
      </c>
      <c r="C69" s="25" t="str">
        <f>CHOOSE(zdroj!L47,zdroj!M47,zdroj!M48,zdroj!M49,zdroj!M50)</f>
        <v>irelevantní</v>
      </c>
      <c r="D69" s="25"/>
      <c r="E69" s="25"/>
      <c r="F69" s="25"/>
      <c r="G69" s="25"/>
      <c r="H69" s="48" t="s">
        <v>122</v>
      </c>
    </row>
    <row r="70" spans="2:8" x14ac:dyDescent="0.25">
      <c r="B70" s="25"/>
      <c r="C70" s="113" t="s">
        <v>199</v>
      </c>
      <c r="D70" s="25"/>
      <c r="E70" s="25"/>
      <c r="F70" s="25"/>
      <c r="G70" s="25"/>
      <c r="H70" s="25" t="str">
        <f>IF(C70=C69,"Duplicita Podaktivit","")</f>
        <v/>
      </c>
    </row>
    <row r="71" spans="2:8" x14ac:dyDescent="0.25">
      <c r="B71" s="25"/>
      <c r="C71" s="113" t="s">
        <v>200</v>
      </c>
      <c r="D71" s="25"/>
      <c r="E71" s="25"/>
      <c r="F71" s="25"/>
      <c r="G71" s="25"/>
      <c r="H71" s="25" t="str">
        <f>IF(OR(C71=C70,C71=C69),"Duplicita Podaktivit","")</f>
        <v/>
      </c>
    </row>
    <row r="72" spans="2:8" x14ac:dyDescent="0.25">
      <c r="B72" s="25"/>
      <c r="C72" s="113" t="s">
        <v>201</v>
      </c>
      <c r="D72" s="25"/>
      <c r="E72" s="25"/>
      <c r="F72" s="25"/>
      <c r="G72" s="25"/>
      <c r="H72" s="25" t="str">
        <f>IF(OR(C72=C71,C72=C70,C72=C69),"Duplicita Podaktivit","")</f>
        <v/>
      </c>
    </row>
    <row r="73" spans="2:8" x14ac:dyDescent="0.25">
      <c r="H73" s="48" t="s">
        <v>122</v>
      </c>
    </row>
  </sheetData>
  <sheetProtection algorithmName="SHA-512" hashValue="Z2AYgMNhvpzVLQv51Swcpojd9UK5Uj2ycQcVCpGiOLjGutwgUWPy8De62VaY+VBXh4wxRXaZAI4QSm7WGajKVg==" saltValue="y6SmGtOjIwNQOX7BuIRVEw==" spinCount="100000" sheet="1" selectLockedCells="1"/>
  <mergeCells count="15">
    <mergeCell ref="I5:J5"/>
    <mergeCell ref="I6:J6"/>
    <mergeCell ref="I8:J8"/>
    <mergeCell ref="D22:G22"/>
    <mergeCell ref="B2:E2"/>
    <mergeCell ref="D3:F3"/>
    <mergeCell ref="C5:F5"/>
    <mergeCell ref="C6:F6"/>
    <mergeCell ref="B18:B19"/>
    <mergeCell ref="C39:E39"/>
    <mergeCell ref="C40:E40"/>
    <mergeCell ref="C41:E41"/>
    <mergeCell ref="G29:I34"/>
    <mergeCell ref="D24:H24"/>
    <mergeCell ref="G40:H40"/>
  </mergeCells>
  <conditionalFormatting sqref="D22:G22">
    <cfRule type="containsText" dxfId="3" priority="28" operator="containsText" text="Upozornění">
      <formula>NOT(ISERROR(SEARCH("Upozornění",D22)))</formula>
    </cfRule>
  </conditionalFormatting>
  <conditionalFormatting sqref="F50:F59">
    <cfRule type="containsText" dxfId="2" priority="5" operator="containsText" text="Duplicita">
      <formula>NOT(ISERROR(SEARCH("Duplicita",F50)))</formula>
    </cfRule>
  </conditionalFormatting>
  <conditionalFormatting sqref="G63:G66">
    <cfRule type="containsText" dxfId="1" priority="4" operator="containsText" text="Duplicita">
      <formula>NOT(ISERROR(SEARCH("Duplicita",G63)))</formula>
    </cfRule>
  </conditionalFormatting>
  <conditionalFormatting sqref="H70:H72">
    <cfRule type="containsText" dxfId="0" priority="3" operator="containsText" text="Duplicita">
      <formula>NOT(ISERROR(SEARCH("Duplicita",H70)))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B49:E49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B62:F62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B69:G69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B24:I24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B25:I25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C48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C50:C59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C63:C66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C70:C72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C61:D61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C68:G68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C50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C51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C52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C53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C54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C55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C56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C57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C58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C59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C63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C64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C65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C66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C70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C71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4"/>
  <sheetViews>
    <sheetView topLeftCell="E12" zoomScaleNormal="100" workbookViewId="0">
      <selection activeCell="D27" sqref="D27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40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1</v>
      </c>
      <c r="C1">
        <v>4</v>
      </c>
      <c r="D1" t="s">
        <v>64</v>
      </c>
      <c r="L1">
        <f>CHOOSE($C$1,1,0,0,0,0,0,0)</f>
        <v>0</v>
      </c>
      <c r="M1" t="s">
        <v>168</v>
      </c>
      <c r="N1" t="s">
        <v>28</v>
      </c>
      <c r="R1" s="117" t="s">
        <v>228</v>
      </c>
      <c r="S1" t="s">
        <v>256</v>
      </c>
    </row>
    <row r="2" spans="1:20" ht="17.25" customHeight="1" x14ac:dyDescent="0.25">
      <c r="A2" t="b">
        <f>AND(A1=TRUE,C1=6)</f>
        <v>0</v>
      </c>
      <c r="C2">
        <v>2</v>
      </c>
      <c r="D2" t="s">
        <v>125</v>
      </c>
      <c r="L2">
        <v>1</v>
      </c>
      <c r="M2" s="1" t="s">
        <v>3</v>
      </c>
      <c r="N2" s="8" t="s">
        <v>29</v>
      </c>
      <c r="O2">
        <f>IF(OR(AND(P2&gt;5,P2&lt;15),P2=16,P2=17,P2&gt;18),1,0)</f>
        <v>0</v>
      </c>
      <c r="P2">
        <v>1</v>
      </c>
      <c r="Q2" s="10" t="s">
        <v>66</v>
      </c>
      <c r="R2" s="117">
        <v>1</v>
      </c>
    </row>
    <row r="3" spans="1:20" x14ac:dyDescent="0.25">
      <c r="D3" t="s">
        <v>126</v>
      </c>
      <c r="L3">
        <v>2</v>
      </c>
      <c r="M3" s="2" t="s">
        <v>5</v>
      </c>
      <c r="N3" s="8" t="s">
        <v>30</v>
      </c>
      <c r="Q3" s="116" t="s">
        <v>270</v>
      </c>
      <c r="R3" s="117">
        <v>2</v>
      </c>
      <c r="T3" t="s">
        <v>122</v>
      </c>
    </row>
    <row r="4" spans="1:20" x14ac:dyDescent="0.25">
      <c r="D4" t="s">
        <v>127</v>
      </c>
      <c r="L4">
        <v>3</v>
      </c>
      <c r="M4" s="2" t="s">
        <v>91</v>
      </c>
      <c r="N4" s="8" t="s">
        <v>31</v>
      </c>
      <c r="Q4" s="116" t="s">
        <v>269</v>
      </c>
      <c r="R4" s="117">
        <v>3</v>
      </c>
      <c r="T4" t="s">
        <v>122</v>
      </c>
    </row>
    <row r="5" spans="1:20" x14ac:dyDescent="0.25">
      <c r="D5" t="s">
        <v>128</v>
      </c>
      <c r="L5">
        <v>4</v>
      </c>
      <c r="M5" s="2" t="s">
        <v>6</v>
      </c>
      <c r="N5" s="8" t="s">
        <v>54</v>
      </c>
      <c r="Q5" s="116" t="s">
        <v>213</v>
      </c>
      <c r="R5" s="117">
        <v>4</v>
      </c>
      <c r="T5" t="s">
        <v>122</v>
      </c>
    </row>
    <row r="6" spans="1:20" x14ac:dyDescent="0.25">
      <c r="D6" t="s">
        <v>129</v>
      </c>
      <c r="L6">
        <v>5</v>
      </c>
      <c r="M6" s="3" t="s">
        <v>7</v>
      </c>
      <c r="N6" s="8" t="s">
        <v>55</v>
      </c>
      <c r="Q6" s="116" t="s">
        <v>214</v>
      </c>
      <c r="R6" s="117">
        <v>5</v>
      </c>
      <c r="T6" t="s">
        <v>122</v>
      </c>
    </row>
    <row r="7" spans="1:20" x14ac:dyDescent="0.25">
      <c r="D7" t="s">
        <v>130</v>
      </c>
      <c r="L7">
        <v>6</v>
      </c>
      <c r="M7" s="1" t="s">
        <v>8</v>
      </c>
      <c r="N7" s="8" t="s">
        <v>32</v>
      </c>
      <c r="Q7" s="115" t="s">
        <v>215</v>
      </c>
      <c r="R7" s="117"/>
      <c r="S7">
        <v>6</v>
      </c>
      <c r="T7" t="s">
        <v>122</v>
      </c>
    </row>
    <row r="8" spans="1:20" x14ac:dyDescent="0.25">
      <c r="L8">
        <v>7</v>
      </c>
      <c r="M8" s="2" t="s">
        <v>10</v>
      </c>
      <c r="N8" s="8" t="s">
        <v>33</v>
      </c>
      <c r="Q8" s="115" t="s">
        <v>216</v>
      </c>
      <c r="R8" s="117"/>
      <c r="S8">
        <v>7</v>
      </c>
    </row>
    <row r="9" spans="1:20" x14ac:dyDescent="0.25">
      <c r="L9">
        <v>8</v>
      </c>
      <c r="M9" s="3" t="s">
        <v>9</v>
      </c>
      <c r="N9" s="8" t="s">
        <v>34</v>
      </c>
      <c r="Q9" s="115" t="s">
        <v>217</v>
      </c>
      <c r="R9" s="117"/>
      <c r="S9">
        <v>8</v>
      </c>
    </row>
    <row r="10" spans="1:20" x14ac:dyDescent="0.25">
      <c r="C10">
        <v>11</v>
      </c>
      <c r="D10" s="1" t="str">
        <f>CHOOSE($C$1,$M$1,M2,M7,M10,M20,M25,M36)</f>
        <v>1.3.1 Podpora přírodě blízkých opatření v krajině a sídlech -FS</v>
      </c>
      <c r="L10" s="4">
        <v>9</v>
      </c>
      <c r="M10" s="1" t="s">
        <v>257</v>
      </c>
      <c r="N10" s="4" t="s">
        <v>35</v>
      </c>
      <c r="Q10" s="115" t="s">
        <v>255</v>
      </c>
      <c r="R10" s="117"/>
      <c r="S10">
        <v>9</v>
      </c>
    </row>
    <row r="11" spans="1:20" x14ac:dyDescent="0.25">
      <c r="D11" s="2" t="str">
        <f>CHOOSE($C$1,$M$1,M3,M8,M11,M21,M26,M37)</f>
        <v>1.3.2 Zpracování studií a plánů (studie systémů sídelní zeleně, územní studie krajiny, plán územního systému ekologické stability)</v>
      </c>
      <c r="L11" s="12">
        <v>10</v>
      </c>
      <c r="M11" s="2" t="s">
        <v>92</v>
      </c>
      <c r="N11" s="12" t="s">
        <v>36</v>
      </c>
      <c r="Q11" s="115" t="s">
        <v>218</v>
      </c>
      <c r="R11" s="117"/>
      <c r="S11">
        <v>10</v>
      </c>
      <c r="T11" t="s">
        <v>122</v>
      </c>
    </row>
    <row r="12" spans="1:20" x14ac:dyDescent="0.25">
      <c r="D12" s="2" t="str">
        <f>CHOOSE($C$1,$M$1,M4,M9,M12,M22,M27,M38)</f>
        <v>1.3.3 Realizace protipovodňových opatření</v>
      </c>
      <c r="L12">
        <v>11</v>
      </c>
      <c r="M12" s="2" t="s">
        <v>93</v>
      </c>
      <c r="N12" s="12" t="s">
        <v>37</v>
      </c>
      <c r="Q12" s="115" t="s">
        <v>219</v>
      </c>
      <c r="R12" s="117"/>
      <c r="S12">
        <v>11</v>
      </c>
      <c r="T12" t="s">
        <v>122</v>
      </c>
    </row>
    <row r="13" spans="1:20" x14ac:dyDescent="0.25">
      <c r="D13" s="2" t="str">
        <f>CHOOSE($C$1,$M$1,M5,"irelevantní",M13,M23,M28,M39)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13">
        <v>12</v>
      </c>
      <c r="M13" s="2" t="s">
        <v>94</v>
      </c>
      <c r="N13" s="12" t="s">
        <v>110</v>
      </c>
      <c r="Q13" s="115" t="s">
        <v>220</v>
      </c>
      <c r="R13" s="117"/>
      <c r="S13">
        <v>12</v>
      </c>
    </row>
    <row r="14" spans="1:20" x14ac:dyDescent="0.25">
      <c r="D14" s="2" t="str">
        <f>CHOOSE($C$1,$M$1,M6,"irelevantní",M14,M24,M29,M40)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14">
        <v>13</v>
      </c>
      <c r="M14" s="2" t="s">
        <v>95</v>
      </c>
      <c r="N14" s="12" t="s">
        <v>111</v>
      </c>
      <c r="Q14" s="115" t="s">
        <v>221</v>
      </c>
      <c r="R14" s="117"/>
      <c r="S14">
        <v>13</v>
      </c>
    </row>
    <row r="15" spans="1:20" x14ac:dyDescent="0.25">
      <c r="D15" s="2" t="str">
        <f>CHOOSE($C$1,$M$1,"irelevantní","irelevantní",M15,"irelevantní",M30,M41)</f>
        <v>1.3.6 Podpora povodňové operativy, zvyšování povědomí obyvatel o povodňovém riziku, zvyšování resilience citlivých objektů před povodněmi</v>
      </c>
      <c r="I15" t="s">
        <v>89</v>
      </c>
      <c r="L15">
        <v>14</v>
      </c>
      <c r="M15" s="2" t="s">
        <v>96</v>
      </c>
      <c r="N15" s="12" t="s">
        <v>112</v>
      </c>
      <c r="Q15" s="115" t="s">
        <v>222</v>
      </c>
      <c r="R15" s="117"/>
      <c r="S15">
        <v>14</v>
      </c>
    </row>
    <row r="16" spans="1:20" x14ac:dyDescent="0.25">
      <c r="D16" s="2" t="str">
        <f>CHOOSE($C$1,$M$1,"irelevantní","irelevantní",M16,"irelevantní",M31,M42)</f>
        <v>1.3.7 Monitoring a rebilance dlouhodobě využitelných zdrojů podzemních vod pro obce v krystaliniku Českého masivu</v>
      </c>
      <c r="I16" s="10">
        <v>24.739000000000001</v>
      </c>
      <c r="L16">
        <v>15</v>
      </c>
      <c r="M16" s="2" t="s">
        <v>97</v>
      </c>
      <c r="N16" s="12" t="s">
        <v>113</v>
      </c>
      <c r="Q16" s="116" t="s">
        <v>223</v>
      </c>
      <c r="R16" s="117">
        <v>15</v>
      </c>
    </row>
    <row r="17" spans="2:25" x14ac:dyDescent="0.25">
      <c r="D17" s="2" t="str">
        <f>CHOOSE($C$1,$M$1,"irelevantní","irelevantní",M17,"irelevantní",M32,M43)</f>
        <v>1.3.8 Obnova stability svahů, stabilizace a sanace extrémních svahových nestabilit vzniklých v důsledku přírodních jevů</v>
      </c>
      <c r="I17" t="s">
        <v>90</v>
      </c>
      <c r="L17">
        <v>16</v>
      </c>
      <c r="M17" s="2" t="s">
        <v>98</v>
      </c>
      <c r="N17" s="12" t="s">
        <v>114</v>
      </c>
      <c r="Q17" s="115" t="s">
        <v>224</v>
      </c>
      <c r="R17" s="117"/>
      <c r="S17">
        <v>16</v>
      </c>
    </row>
    <row r="18" spans="2:25" x14ac:dyDescent="0.25">
      <c r="D18" s="2" t="str">
        <f>CHOOSE($C$1,$M$1,"irelevantní","irelevantní",M18,"irelevantní",M33,"irelevantní")</f>
        <v>1.3.9 Investice do modernizace vzdělávacích environmentálních center zaměřených na změnu klimatu</v>
      </c>
      <c r="L18">
        <v>17</v>
      </c>
      <c r="M18" s="2" t="s">
        <v>99</v>
      </c>
      <c r="N18" s="12" t="s">
        <v>115</v>
      </c>
      <c r="Q18" s="115" t="s">
        <v>225</v>
      </c>
      <c r="R18" s="117"/>
      <c r="S18">
        <v>17</v>
      </c>
    </row>
    <row r="19" spans="2:25" x14ac:dyDescent="0.25">
      <c r="D19" s="2" t="str">
        <f>CHOOSE($C$1,$M$1,"irelevantní","irelevantní",M19,"irelevantní",M34,"irelevantní")</f>
        <v>1.3.10 Prevence a řízení antropogenních rizik</v>
      </c>
      <c r="L19">
        <v>18</v>
      </c>
      <c r="M19" s="2" t="s">
        <v>100</v>
      </c>
      <c r="N19" s="12" t="s">
        <v>116</v>
      </c>
      <c r="Q19" s="116" t="s">
        <v>226</v>
      </c>
      <c r="R19" s="117">
        <v>18</v>
      </c>
    </row>
    <row r="20" spans="2:25" x14ac:dyDescent="0.25">
      <c r="D20" s="2" t="str">
        <f>CHOOSE($C$1,$M$1,"irelevantní","irelevantní",M44,"irelevantní",M35,"irelevantní")</f>
        <v>1.3.11 Podpora přírodě blízkých opatření v krajině a sídlech - ERDF</v>
      </c>
      <c r="L20">
        <v>19</v>
      </c>
      <c r="M20" s="1" t="s">
        <v>101</v>
      </c>
      <c r="N20" s="8" t="s">
        <v>38</v>
      </c>
      <c r="Q20" s="115" t="s">
        <v>227</v>
      </c>
      <c r="R20" s="117"/>
      <c r="S20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5" t="s">
        <v>251</v>
      </c>
      <c r="R21" s="117"/>
      <c r="S21">
        <v>20</v>
      </c>
      <c r="Y21" s="20"/>
    </row>
    <row r="22" spans="2:25" x14ac:dyDescent="0.25">
      <c r="L22">
        <v>21</v>
      </c>
      <c r="M22" s="2" t="s">
        <v>13</v>
      </c>
      <c r="N22" s="8" t="s">
        <v>40</v>
      </c>
      <c r="Q22" s="115" t="s">
        <v>252</v>
      </c>
      <c r="R22" s="154"/>
      <c r="S22" s="154">
        <v>21</v>
      </c>
      <c r="Y22" s="20"/>
    </row>
    <row r="23" spans="2:25" x14ac:dyDescent="0.25">
      <c r="B23">
        <f>IF(AND(C1=4,C10=1),9,IF(AND(C1=7,C10=1),35,IF(AND(C1=7,C10=2),36,IF(AND(C1=4,C10=11),43,0))))</f>
        <v>43</v>
      </c>
      <c r="C23">
        <v>2</v>
      </c>
      <c r="D23" t="str">
        <f>IF($B$23=9,D31,IF($B$23=35,D36,IF($B$23=36,D41,IF($B$23=43,D43,"irelevantní"))))</f>
        <v>1.3.11.1 Tvorba nových a obnova stávajících přírodě blízkých vodních prvků v krajině včetně sídel</v>
      </c>
      <c r="L23">
        <v>22</v>
      </c>
      <c r="M23" s="2" t="s">
        <v>14</v>
      </c>
      <c r="N23" s="8" t="s">
        <v>41</v>
      </c>
      <c r="Q23" s="115" t="s">
        <v>253</v>
      </c>
      <c r="R23" s="154"/>
      <c r="S23" s="154">
        <v>22</v>
      </c>
      <c r="Y23" s="20"/>
    </row>
    <row r="24" spans="2:25" x14ac:dyDescent="0.25">
      <c r="B24">
        <v>3</v>
      </c>
      <c r="D24" t="str">
        <f>IF($B$23=9,D32,IF($B$23=35,D37,IF($B$23=36,D42,IF($B$23=43,D44,"irelevantní"))))</f>
        <v>1.3.11.2 Tvorba nových a obnova stávajících vegetačních prvků a struktur, včetně opatření proti vodní a větrné erozi</v>
      </c>
      <c r="L24">
        <v>23</v>
      </c>
      <c r="M24" s="3" t="s">
        <v>15</v>
      </c>
      <c r="N24" s="8" t="s">
        <v>42</v>
      </c>
      <c r="Q24" s="115" t="s">
        <v>254</v>
      </c>
      <c r="R24" s="154"/>
      <c r="S24" s="154">
        <v>23</v>
      </c>
      <c r="Y24" s="20"/>
    </row>
    <row r="25" spans="2:25" x14ac:dyDescent="0.25">
      <c r="D25" t="str">
        <f>IF($B$23=9,D33,IF($B$23=35,D38,IF($B$23=43,I45,"irelevantní")))</f>
        <v>1.3.11.5 Odstranění či eliminace negativních funkcí odvodňovacích zařízení v krajině</v>
      </c>
      <c r="L25">
        <v>24</v>
      </c>
      <c r="M25" s="1" t="s">
        <v>16</v>
      </c>
      <c r="N25" s="16" t="s">
        <v>43</v>
      </c>
      <c r="R25" s="154"/>
      <c r="S25" s="154"/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151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250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152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47" t="str">
        <f>IF(KR!I21&gt;10000000,"0,035",IF(KR!I21&lt;3000000,",07",",05"))</f>
        <v>0,035</v>
      </c>
      <c r="Q30" s="148" t="s">
        <v>73</v>
      </c>
      <c r="R30" s="142" t="s">
        <v>85</v>
      </c>
      <c r="Y30" s="20"/>
    </row>
    <row r="31" spans="2:25" ht="15.75" thickBot="1" x14ac:dyDescent="0.3">
      <c r="C31" s="5" t="s">
        <v>153</v>
      </c>
      <c r="D31" s="4" t="s">
        <v>131</v>
      </c>
      <c r="L31">
        <v>30</v>
      </c>
      <c r="M31" s="2" t="s">
        <v>21</v>
      </c>
      <c r="N31" s="16" t="s">
        <v>49</v>
      </c>
      <c r="P31" s="143"/>
      <c r="R31" s="144" t="s">
        <v>87</v>
      </c>
      <c r="Y31" s="20"/>
    </row>
    <row r="32" spans="2:25" ht="15.75" thickBot="1" x14ac:dyDescent="0.3">
      <c r="C32" s="13" t="s">
        <v>154</v>
      </c>
      <c r="D32" s="4" t="s">
        <v>132</v>
      </c>
      <c r="L32">
        <v>31</v>
      </c>
      <c r="M32" s="2" t="s">
        <v>22</v>
      </c>
      <c r="N32" s="16" t="s">
        <v>50</v>
      </c>
      <c r="P32" s="152" t="str">
        <f>IF(OR(C1=4,C1=7),P33,P30)</f>
        <v>0,05</v>
      </c>
      <c r="Q32" s="145"/>
      <c r="R32" s="146" t="s">
        <v>86</v>
      </c>
      <c r="Y32" s="20"/>
    </row>
    <row r="33" spans="3:25" x14ac:dyDescent="0.25">
      <c r="D33" s="4" t="s">
        <v>133</v>
      </c>
      <c r="L33">
        <v>32</v>
      </c>
      <c r="M33" s="2" t="s">
        <v>23</v>
      </c>
      <c r="N33" s="16" t="s">
        <v>51</v>
      </c>
      <c r="P33" s="151" t="str">
        <f>IF(KR!I21&gt;10000000,"0,05",",07")</f>
        <v>0,05</v>
      </c>
      <c r="Q33" s="149"/>
      <c r="R33" s="142" t="s">
        <v>247</v>
      </c>
      <c r="Y33" s="20"/>
    </row>
    <row r="34" spans="3:25" x14ac:dyDescent="0.25">
      <c r="D34" s="4" t="s">
        <v>134</v>
      </c>
      <c r="L34">
        <v>33</v>
      </c>
      <c r="M34" s="2" t="s">
        <v>24</v>
      </c>
      <c r="N34" s="16" t="s">
        <v>52</v>
      </c>
      <c r="P34" s="150" t="s">
        <v>248</v>
      </c>
      <c r="Q34" s="145"/>
      <c r="R34" s="146" t="s">
        <v>246</v>
      </c>
      <c r="Y34" s="20"/>
    </row>
    <row r="35" spans="3:25" x14ac:dyDescent="0.25">
      <c r="D35" s="4" t="s">
        <v>135</v>
      </c>
      <c r="L35">
        <v>34</v>
      </c>
      <c r="M35" s="3" t="s">
        <v>25</v>
      </c>
      <c r="N35" s="16" t="s">
        <v>53</v>
      </c>
      <c r="P35">
        <v>1</v>
      </c>
      <c r="Q35" t="s">
        <v>156</v>
      </c>
      <c r="Y35" s="20"/>
    </row>
    <row r="36" spans="3:25" x14ac:dyDescent="0.25">
      <c r="C36" s="18" t="s">
        <v>155</v>
      </c>
      <c r="D36" s="6" t="s">
        <v>136</v>
      </c>
      <c r="L36" s="6">
        <v>35</v>
      </c>
      <c r="M36" s="1" t="s">
        <v>102</v>
      </c>
      <c r="N36" s="17" t="s">
        <v>56</v>
      </c>
      <c r="Q36" t="s">
        <v>240</v>
      </c>
      <c r="Y36" s="20"/>
    </row>
    <row r="37" spans="3:25" x14ac:dyDescent="0.25">
      <c r="D37" s="6" t="s">
        <v>137</v>
      </c>
      <c r="L37" s="7">
        <v>36</v>
      </c>
      <c r="M37" s="2" t="s">
        <v>103</v>
      </c>
      <c r="N37" s="9" t="s">
        <v>57</v>
      </c>
      <c r="Q37" t="s">
        <v>75</v>
      </c>
    </row>
    <row r="38" spans="3:25" x14ac:dyDescent="0.25">
      <c r="D38" s="6" t="s">
        <v>138</v>
      </c>
      <c r="L38">
        <v>37</v>
      </c>
      <c r="M38" s="2" t="s">
        <v>104</v>
      </c>
      <c r="N38" s="8" t="s">
        <v>58</v>
      </c>
      <c r="Q38" t="s">
        <v>76</v>
      </c>
    </row>
    <row r="39" spans="3:25" x14ac:dyDescent="0.25">
      <c r="D39" s="6" t="s">
        <v>139</v>
      </c>
      <c r="L39">
        <v>38</v>
      </c>
      <c r="M39" s="2" t="s">
        <v>107</v>
      </c>
      <c r="N39" s="8" t="s">
        <v>59</v>
      </c>
    </row>
    <row r="40" spans="3:25" x14ac:dyDescent="0.25">
      <c r="D40" s="6" t="s">
        <v>140</v>
      </c>
      <c r="L40">
        <v>39</v>
      </c>
      <c r="M40" s="2" t="s">
        <v>105</v>
      </c>
      <c r="N40" s="8" t="s">
        <v>60</v>
      </c>
      <c r="P40" s="11" t="e">
        <f>CHOOSE(P26,KR!F25-KR!G25*(1+(KR!E25/100)),KR!D25-KR!G25,KR!F25-KR!G25*(1+(KR!E25/100)))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141</v>
      </c>
      <c r="L41">
        <v>40</v>
      </c>
      <c r="M41" s="2" t="s">
        <v>106</v>
      </c>
      <c r="N41" s="8" t="s">
        <v>61</v>
      </c>
      <c r="P41" s="11" t="e">
        <f>IF((P32*(KR!I18+KR!I19))&gt;15000000,15000000,(P32*(KR!I18+KR!I19)))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142</v>
      </c>
      <c r="L42">
        <v>41</v>
      </c>
      <c r="M42" s="2" t="s">
        <v>108</v>
      </c>
      <c r="N42" s="8" t="s">
        <v>62</v>
      </c>
    </row>
    <row r="43" spans="3:25" x14ac:dyDescent="0.25">
      <c r="C43" t="s">
        <v>260</v>
      </c>
      <c r="D43" s="4" t="s">
        <v>261</v>
      </c>
      <c r="L43">
        <v>42</v>
      </c>
      <c r="M43" s="3" t="s">
        <v>109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C44" t="s">
        <v>262</v>
      </c>
      <c r="D44" s="4" t="s">
        <v>263</v>
      </c>
      <c r="L44" s="4">
        <v>43</v>
      </c>
      <c r="M44" s="155" t="s">
        <v>258</v>
      </c>
      <c r="N44" s="8" t="s">
        <v>259</v>
      </c>
      <c r="S44" s="11"/>
    </row>
    <row r="45" spans="3:25" x14ac:dyDescent="0.25">
      <c r="D45" t="s">
        <v>117</v>
      </c>
      <c r="I45" s="4" t="s">
        <v>271</v>
      </c>
      <c r="S45" s="11" t="e">
        <f>P43*(Q43/100)+P43+IF(P40&gt;P41,P40-P41,0)</f>
        <v>#VALUE!</v>
      </c>
    </row>
    <row r="46" spans="3:25" x14ac:dyDescent="0.25">
      <c r="D46" s="5" t="s">
        <v>150</v>
      </c>
    </row>
    <row r="47" spans="3:25" x14ac:dyDescent="0.25">
      <c r="D47" s="5" t="s">
        <v>143</v>
      </c>
      <c r="L47">
        <v>1</v>
      </c>
      <c r="M47" t="str">
        <f>IF(AND($B$23=9,$B$24=1),D46,IF(AND($B$23=9,$B$24=2),D50,IF(AND($B$23=35,$B$24=1),D52,IF(AND($B$23=43,$B$24=1),D54,IF(AND($B$23=43,$B$24=2),I55,"irelevantní")))))</f>
        <v>irelevantní</v>
      </c>
    </row>
    <row r="48" spans="3:25" x14ac:dyDescent="0.25">
      <c r="D48" s="5" t="s">
        <v>144</v>
      </c>
      <c r="M48" t="str">
        <f>IF(AND($B$23=9,$B$24=1),D47,IF(AND($B$23=9,$B$24=2),D51,IF(AND($B$23=35,$B$24=1),D53,IF(AND($B$23=43,$B$24=1),D55,"irelevantní"))))</f>
        <v>irelevantní</v>
      </c>
    </row>
    <row r="49" spans="1:17" x14ac:dyDescent="0.25">
      <c r="D49" s="5" t="s">
        <v>145</v>
      </c>
      <c r="M49" t="str">
        <f>IF(AND($B$23=9,$B$24=1),D48,IF(AND($B$23=43,$B$24=1),D56,"irelevantní"))</f>
        <v>irelevantní</v>
      </c>
    </row>
    <row r="50" spans="1:17" x14ac:dyDescent="0.25">
      <c r="D50" s="14" t="s">
        <v>146</v>
      </c>
      <c r="M50" t="str">
        <f>IF(AND($B$23=9,$B$24=1),D49,IF(AND($B$23=43,$B$24=1),D57,"irelevantní"))</f>
        <v>irelevantní</v>
      </c>
    </row>
    <row r="51" spans="1:17" x14ac:dyDescent="0.25">
      <c r="D51" s="14" t="s">
        <v>147</v>
      </c>
    </row>
    <row r="52" spans="1:17" x14ac:dyDescent="0.25">
      <c r="D52" s="15" t="s">
        <v>148</v>
      </c>
    </row>
    <row r="53" spans="1:17" x14ac:dyDescent="0.25">
      <c r="D53" s="15" t="s">
        <v>149</v>
      </c>
    </row>
    <row r="54" spans="1:17" x14ac:dyDescent="0.25">
      <c r="D54" s="5" t="s">
        <v>264</v>
      </c>
    </row>
    <row r="55" spans="1:17" x14ac:dyDescent="0.25">
      <c r="D55" s="5" t="s">
        <v>265</v>
      </c>
      <c r="I55" s="5" t="s">
        <v>266</v>
      </c>
    </row>
    <row r="56" spans="1:17" x14ac:dyDescent="0.25">
      <c r="A56">
        <f>IF(B56=TRUE,1,0)</f>
        <v>0</v>
      </c>
      <c r="B56" t="b">
        <v>0</v>
      </c>
      <c r="C56" t="s">
        <v>165</v>
      </c>
      <c r="D56" s="5" t="s">
        <v>267</v>
      </c>
    </row>
    <row r="57" spans="1:17" x14ac:dyDescent="0.25">
      <c r="A57">
        <f t="shared" ref="A57:A58" si="0">IF(B57=TRUE,1,0)</f>
        <v>0</v>
      </c>
      <c r="B57" t="b">
        <v>0</v>
      </c>
      <c r="C57" t="s">
        <v>166</v>
      </c>
      <c r="D57" s="5" t="s">
        <v>268</v>
      </c>
    </row>
    <row r="58" spans="1:17" ht="15.75" thickBot="1" x14ac:dyDescent="0.3">
      <c r="A58">
        <f t="shared" si="0"/>
        <v>0</v>
      </c>
      <c r="B58" t="b">
        <v>0</v>
      </c>
      <c r="C58" t="s">
        <v>167</v>
      </c>
      <c r="D58">
        <v>2</v>
      </c>
      <c r="H58">
        <v>6</v>
      </c>
      <c r="K58">
        <v>9</v>
      </c>
    </row>
    <row r="59" spans="1:17" x14ac:dyDescent="0.25">
      <c r="D59" s="21" t="s">
        <v>179</v>
      </c>
      <c r="E59" t="s">
        <v>180</v>
      </c>
      <c r="F59" t="s">
        <v>181</v>
      </c>
      <c r="G59" t="s">
        <v>182</v>
      </c>
      <c r="H59" t="s">
        <v>183</v>
      </c>
      <c r="I59" t="s">
        <v>184</v>
      </c>
      <c r="J59" t="s">
        <v>185</v>
      </c>
      <c r="K59" t="s">
        <v>186</v>
      </c>
      <c r="L59" t="s">
        <v>187</v>
      </c>
      <c r="M59" t="s">
        <v>188</v>
      </c>
      <c r="P59" t="str">
        <f>KR!C50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1">CHOOSE($C$1,"",$M$2,$M$7,$M$10,$M$20,$M$25,$M$36)</f>
        <v>1.3.1 Podpora přírodě blízkých opatření v krajině a sídlech -FS</v>
      </c>
      <c r="E60" s="22" t="str">
        <f t="shared" si="1"/>
        <v>1.3.1 Podpora přírodě blízkých opatření v krajině a sídlech -FS</v>
      </c>
      <c r="F60" s="22" t="str">
        <f t="shared" si="1"/>
        <v>1.3.1 Podpora přírodě blízkých opatření v krajině a sídlech -FS</v>
      </c>
      <c r="G60" s="22" t="str">
        <f t="shared" si="1"/>
        <v>1.3.1 Podpora přírodě blízkých opatření v krajině a sídlech -FS</v>
      </c>
      <c r="H60" s="22" t="str">
        <f t="shared" si="1"/>
        <v>1.3.1 Podpora přírodě blízkých opatření v krajině a sídlech -FS</v>
      </c>
      <c r="I60" s="22" t="str">
        <f t="shared" si="1"/>
        <v>1.3.1 Podpora přírodě blízkých opatření v krajině a sídlech -FS</v>
      </c>
      <c r="J60" s="22" t="str">
        <f t="shared" si="1"/>
        <v>1.3.1 Podpora přírodě blízkých opatření v krajině a sídlech -FS</v>
      </c>
      <c r="K60" s="22" t="str">
        <f t="shared" si="1"/>
        <v>1.3.1 Podpora přírodě blízkých opatření v krajině a sídlech -FS</v>
      </c>
      <c r="L60" s="22" t="str">
        <f t="shared" si="1"/>
        <v>1.3.1 Podpora přírodě blízkých opatření v krajině a sídlech -FS</v>
      </c>
      <c r="M60" s="22" t="str">
        <f t="shared" si="1"/>
        <v>1.3.1 Podpora přírodě blízkých opatření v krajině a sídlech -FS</v>
      </c>
      <c r="P60" t="str">
        <f>KR!C51</f>
        <v>vyber Opatření #3</v>
      </c>
      <c r="Q60">
        <f>IF(P60="vyber Opatření #3",0,1)</f>
        <v>0</v>
      </c>
    </row>
    <row r="61" spans="1:17" x14ac:dyDescent="0.25">
      <c r="D61" s="22" t="str">
        <f t="shared" ref="D61:L61" si="2">CHOOSE($C$1,"",$M$3,$M$8,$M$11,$M$21,$M$26,$M$37)</f>
        <v>1.3.2 Zpracování studií a plánů (studie systémů sídelní zeleně, územní studie krajiny, plán územního systému ekologické stability)</v>
      </c>
      <c r="E61" s="22" t="str">
        <f t="shared" si="2"/>
        <v>1.3.2 Zpracování studií a plánů (studie systémů sídelní zeleně, územní studie krajiny, plán územního systému ekologické stability)</v>
      </c>
      <c r="F61" s="22" t="str">
        <f t="shared" si="2"/>
        <v>1.3.2 Zpracování studií a plánů (studie systémů sídelní zeleně, územní studie krajiny, plán územního systému ekologické stability)</v>
      </c>
      <c r="G61" s="22" t="str">
        <f t="shared" si="2"/>
        <v>1.3.2 Zpracování studií a plánů (studie systémů sídelní zeleně, územní studie krajiny, plán územního systému ekologické stability)</v>
      </c>
      <c r="H61" s="22" t="str">
        <f t="shared" si="2"/>
        <v>1.3.2 Zpracování studií a plánů (studie systémů sídelní zeleně, územní studie krajiny, plán územního systému ekologické stability)</v>
      </c>
      <c r="I61" s="22" t="str">
        <f t="shared" si="2"/>
        <v>1.3.2 Zpracování studií a plánů (studie systémů sídelní zeleně, územní studie krajiny, plán územního systému ekologické stability)</v>
      </c>
      <c r="J61" s="22" t="str">
        <f t="shared" si="2"/>
        <v>1.3.2 Zpracování studií a plánů (studie systémů sídelní zeleně, územní studie krajiny, plán územního systému ekologické stability)</v>
      </c>
      <c r="K61" s="22" t="str">
        <f t="shared" si="2"/>
        <v>1.3.2 Zpracování studií a plánů (studie systémů sídelní zeleně, územní studie krajiny, plán územního systému ekologické stability)</v>
      </c>
      <c r="L61" s="22" t="str">
        <f t="shared" si="2"/>
        <v>1.3.2 Zpracování studií a plánů (studie systémů sídelní zeleně, územní studie krajiny, plán územního systému ekologické stability)</v>
      </c>
      <c r="M61" s="22" t="str">
        <f>CHOOSE($C$1,"",$M$3,$M$8,$M$11,$M$21,$M$26,$M$37)</f>
        <v>1.3.2 Zpracování studií a plánů (studie systémů sídelní zeleně, územní studie krajiny, plán územního systému ekologické stability)</v>
      </c>
      <c r="P61" t="str">
        <f>KR!C52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3">CHOOSE($C$1,"",$M$4,$M$9,$M$12,$M$22,$M$27,$M$38)</f>
        <v>1.3.3 Realizace protipovodňových opatření</v>
      </c>
      <c r="E62" s="22" t="str">
        <f t="shared" si="3"/>
        <v>1.3.3 Realizace protipovodňových opatření</v>
      </c>
      <c r="F62" s="22" t="str">
        <f t="shared" si="3"/>
        <v>1.3.3 Realizace protipovodňových opatření</v>
      </c>
      <c r="G62" s="22" t="str">
        <f t="shared" si="3"/>
        <v>1.3.3 Realizace protipovodňových opatření</v>
      </c>
      <c r="H62" s="22" t="str">
        <f t="shared" si="3"/>
        <v>1.3.3 Realizace protipovodňových opatření</v>
      </c>
      <c r="I62" s="22" t="str">
        <f t="shared" si="3"/>
        <v>1.3.3 Realizace protipovodňových opatření</v>
      </c>
      <c r="J62" s="22" t="str">
        <f t="shared" si="3"/>
        <v>1.3.3 Realizace protipovodňových opatření</v>
      </c>
      <c r="K62" s="22" t="str">
        <f t="shared" si="3"/>
        <v>1.3.3 Realizace protipovodňových opatření</v>
      </c>
      <c r="L62" s="22" t="str">
        <f t="shared" si="3"/>
        <v>1.3.3 Realizace protipovodňových opatření</v>
      </c>
      <c r="M62" s="22" t="str">
        <f t="shared" si="3"/>
        <v>1.3.3 Realizace protipovodňových opatření</v>
      </c>
      <c r="P62" t="str">
        <f>KR!C53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4">CHOOSE($C$1,"","","",$M$13,$M$23,$M$28,$M$39)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E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F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G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H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I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J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K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M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Q63" s="10">
        <f>SUM(Q59:Q62)</f>
        <v>0</v>
      </c>
    </row>
    <row r="64" spans="1:17" x14ac:dyDescent="0.25">
      <c r="D64" s="22" t="str">
        <f t="shared" ref="D64:M64" si="5">CHOOSE($C$1,"","","",$M$14,$M$24,$M$29,$M$40)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E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F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G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H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I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J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K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M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P64" t="s">
        <v>122</v>
      </c>
    </row>
    <row r="65" spans="4:17" x14ac:dyDescent="0.25">
      <c r="D65" s="22" t="str">
        <f t="shared" ref="D65:M65" si="6">CHOOSE($C$1,"","","",$M$15,"",$M$30,$M$41)</f>
        <v>1.3.6 Podpora povodňové operativy, zvyšování povědomí obyvatel o povodňovém riziku, zvyšování resilience citlivých objektů před povodněmi</v>
      </c>
      <c r="E65" s="22" t="str">
        <f t="shared" si="6"/>
        <v>1.3.6 Podpora povodňové operativy, zvyšování povědomí obyvatel o povodňovém riziku, zvyšování resilience citlivých objektů před povodněmi</v>
      </c>
      <c r="F65" s="22" t="str">
        <f t="shared" si="6"/>
        <v>1.3.6 Podpora povodňové operativy, zvyšování povědomí obyvatel o povodňovém riziku, zvyšování resilience citlivých objektů před povodněmi</v>
      </c>
      <c r="G65" s="22" t="str">
        <f t="shared" si="6"/>
        <v>1.3.6 Podpora povodňové operativy, zvyšování povědomí obyvatel o povodňovém riziku, zvyšování resilience citlivých objektů před povodněmi</v>
      </c>
      <c r="H65" s="22" t="str">
        <f t="shared" si="6"/>
        <v>1.3.6 Podpora povodňové operativy, zvyšování povědomí obyvatel o povodňovém riziku, zvyšování resilience citlivých objektů před povodněmi</v>
      </c>
      <c r="I65" s="22" t="str">
        <f t="shared" si="6"/>
        <v>1.3.6 Podpora povodňové operativy, zvyšování povědomí obyvatel o povodňovém riziku, zvyšování resilience citlivých objektů před povodněmi</v>
      </c>
      <c r="J65" s="22" t="str">
        <f t="shared" si="6"/>
        <v>1.3.6 Podpora povodňové operativy, zvyšování povědomí obyvatel o povodňovém riziku, zvyšování resilience citlivých objektů před povodněmi</v>
      </c>
      <c r="K65" s="22" t="str">
        <f t="shared" si="6"/>
        <v>1.3.6 Podpora povodňové operativy, zvyšování povědomí obyvatel o povodňovém riziku, zvyšování resilience citlivých objektů před povodněmi</v>
      </c>
      <c r="L65" s="22" t="str">
        <f t="shared" si="6"/>
        <v>1.3.6 Podpora povodňové operativy, zvyšování povědomí obyvatel o povodňovém riziku, zvyšování resilience citlivých objektů před povodněmi</v>
      </c>
      <c r="M65" s="22" t="str">
        <f t="shared" si="6"/>
        <v>1.3.6 Podpora povodňové operativy, zvyšování povědomí obyvatel o povodňovém riziku, zvyšování resilience citlivých objektů před povodněmi</v>
      </c>
      <c r="P65" t="str">
        <f>KR!C63</f>
        <v>vyber Aktivitu #2</v>
      </c>
      <c r="Q65">
        <f>IF(P65="vyber Aktivitu #2",0,1)</f>
        <v>0</v>
      </c>
    </row>
    <row r="66" spans="4:17" x14ac:dyDescent="0.25">
      <c r="D66" s="22" t="str">
        <f t="shared" ref="D66:M66" si="7">CHOOSE($C$1,"","","",$M$16,"",$M$31,$M$42)</f>
        <v>1.3.7 Monitoring a rebilance dlouhodobě využitelných zdrojů podzemních vod pro obce v krystaliniku Českého masivu</v>
      </c>
      <c r="E66" s="22" t="str">
        <f t="shared" si="7"/>
        <v>1.3.7 Monitoring a rebilance dlouhodobě využitelných zdrojů podzemních vod pro obce v krystaliniku Českého masivu</v>
      </c>
      <c r="F66" s="22" t="str">
        <f t="shared" si="7"/>
        <v>1.3.7 Monitoring a rebilance dlouhodobě využitelných zdrojů podzemních vod pro obce v krystaliniku Českého masivu</v>
      </c>
      <c r="G66" s="22" t="str">
        <f t="shared" si="7"/>
        <v>1.3.7 Monitoring a rebilance dlouhodobě využitelných zdrojů podzemních vod pro obce v krystaliniku Českého masivu</v>
      </c>
      <c r="H66" s="22" t="str">
        <f t="shared" si="7"/>
        <v>1.3.7 Monitoring a rebilance dlouhodobě využitelných zdrojů podzemních vod pro obce v krystaliniku Českého masivu</v>
      </c>
      <c r="I66" s="22" t="str">
        <f t="shared" si="7"/>
        <v>1.3.7 Monitoring a rebilance dlouhodobě využitelných zdrojů podzemních vod pro obce v krystaliniku Českého masivu</v>
      </c>
      <c r="J66" s="22" t="str">
        <f t="shared" si="7"/>
        <v>1.3.7 Monitoring a rebilance dlouhodobě využitelných zdrojů podzemních vod pro obce v krystaliniku Českého masivu</v>
      </c>
      <c r="K66" s="22" t="str">
        <f t="shared" si="7"/>
        <v>1.3.7 Monitoring a rebilance dlouhodobě využitelných zdrojů podzemních vod pro obce v krystaliniku Českého masivu</v>
      </c>
      <c r="L66" s="22" t="str">
        <f t="shared" si="7"/>
        <v>1.3.7 Monitoring a rebilance dlouhodobě využitelných zdrojů podzemních vod pro obce v krystaliniku Českého masivu</v>
      </c>
      <c r="M66" s="22" t="str">
        <f t="shared" si="7"/>
        <v>1.3.7 Monitoring a rebilance dlouhodobě využitelných zdrojů podzemních vod pro obce v krystaliniku Českého masivu</v>
      </c>
      <c r="P66" t="str">
        <f>KR!C64</f>
        <v>vyber Aktivitu #3</v>
      </c>
      <c r="Q66">
        <f>IF(P66="vyber Aktivitu #3",0,1)</f>
        <v>0</v>
      </c>
    </row>
    <row r="67" spans="4:17" x14ac:dyDescent="0.25">
      <c r="D67" s="22" t="str">
        <f t="shared" ref="D67:M67" si="8">CHOOSE($C$1,"","","",$M$17,"",$M$32,$M$43)</f>
        <v>1.3.8 Obnova stability svahů, stabilizace a sanace extrémních svahových nestabilit vzniklých v důsledku přírodních jevů</v>
      </c>
      <c r="E67" s="22" t="str">
        <f t="shared" si="8"/>
        <v>1.3.8 Obnova stability svahů, stabilizace a sanace extrémních svahových nestabilit vzniklých v důsledku přírodních jevů</v>
      </c>
      <c r="F67" s="22" t="str">
        <f t="shared" si="8"/>
        <v>1.3.8 Obnova stability svahů, stabilizace a sanace extrémních svahových nestabilit vzniklých v důsledku přírodních jevů</v>
      </c>
      <c r="G67" s="22" t="str">
        <f t="shared" si="8"/>
        <v>1.3.8 Obnova stability svahů, stabilizace a sanace extrémních svahových nestabilit vzniklých v důsledku přírodních jevů</v>
      </c>
      <c r="H67" s="22" t="str">
        <f t="shared" si="8"/>
        <v>1.3.8 Obnova stability svahů, stabilizace a sanace extrémních svahových nestabilit vzniklých v důsledku přírodních jevů</v>
      </c>
      <c r="I67" s="22" t="str">
        <f t="shared" si="8"/>
        <v>1.3.8 Obnova stability svahů, stabilizace a sanace extrémních svahových nestabilit vzniklých v důsledku přírodních jevů</v>
      </c>
      <c r="J67" s="22" t="str">
        <f t="shared" si="8"/>
        <v>1.3.8 Obnova stability svahů, stabilizace a sanace extrémních svahových nestabilit vzniklých v důsledku přírodních jevů</v>
      </c>
      <c r="K67" s="22" t="str">
        <f t="shared" si="8"/>
        <v>1.3.8 Obnova stability svahů, stabilizace a sanace extrémních svahových nestabilit vzniklých v důsledku přírodních jevů</v>
      </c>
      <c r="L67" s="22" t="str">
        <f t="shared" si="8"/>
        <v>1.3.8 Obnova stability svahů, stabilizace a sanace extrémních svahových nestabilit vzniklých v důsledku přírodních jevů</v>
      </c>
      <c r="M67" s="22" t="str">
        <f t="shared" si="8"/>
        <v>1.3.8 Obnova stability svahů, stabilizace a sanace extrémních svahových nestabilit vzniklých v důsledku přírodních jevů</v>
      </c>
      <c r="P67" t="str">
        <f>KR!C65</f>
        <v>vyber Aktivitu #4</v>
      </c>
      <c r="Q67">
        <f>IF(P67="vyber Aktivitu #4",0,1)</f>
        <v>0</v>
      </c>
    </row>
    <row r="68" spans="4:17" x14ac:dyDescent="0.25">
      <c r="D68" s="22" t="str">
        <f t="shared" ref="D68:M68" si="9">CHOOSE($C$1,"","","",$M$18,"",$M$33,"")</f>
        <v>1.3.9 Investice do modernizace vzdělávacích environmentálních center zaměřených na změnu klimatu</v>
      </c>
      <c r="E68" s="22" t="str">
        <f t="shared" si="9"/>
        <v>1.3.9 Investice do modernizace vzdělávacích environmentálních center zaměřených na změnu klimatu</v>
      </c>
      <c r="F68" s="22" t="str">
        <f t="shared" si="9"/>
        <v>1.3.9 Investice do modernizace vzdělávacích environmentálních center zaměřených na změnu klimatu</v>
      </c>
      <c r="G68" s="22" t="str">
        <f t="shared" si="9"/>
        <v>1.3.9 Investice do modernizace vzdělávacích environmentálních center zaměřených na změnu klimatu</v>
      </c>
      <c r="H68" s="22" t="str">
        <f t="shared" si="9"/>
        <v>1.3.9 Investice do modernizace vzdělávacích environmentálních center zaměřených na změnu klimatu</v>
      </c>
      <c r="I68" s="22" t="str">
        <f t="shared" si="9"/>
        <v>1.3.9 Investice do modernizace vzdělávacích environmentálních center zaměřených na změnu klimatu</v>
      </c>
      <c r="J68" s="22" t="str">
        <f t="shared" si="9"/>
        <v>1.3.9 Investice do modernizace vzdělávacích environmentálních center zaměřených na změnu klimatu</v>
      </c>
      <c r="K68" s="22" t="str">
        <f t="shared" si="9"/>
        <v>1.3.9 Investice do modernizace vzdělávacích environmentálních center zaměřených na změnu klimatu</v>
      </c>
      <c r="L68" s="22" t="str">
        <f t="shared" si="9"/>
        <v>1.3.9 Investice do modernizace vzdělávacích environmentálních center zaměřených na změnu klimatu</v>
      </c>
      <c r="M68" s="22" t="str">
        <f t="shared" si="9"/>
        <v>1.3.9 Investice do modernizace vzdělávacích environmentálních center zaměřených na změnu klimatu</v>
      </c>
      <c r="P68" t="str">
        <f>KR!C66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0">CHOOSE($C$1,"","","",$M$19,"",$M$34,"")</f>
        <v>1.3.10 Prevence a řízení antropogenních rizik</v>
      </c>
      <c r="E69" s="22" t="str">
        <f t="shared" si="10"/>
        <v>1.3.10 Prevence a řízení antropogenních rizik</v>
      </c>
      <c r="F69" s="22" t="str">
        <f t="shared" si="10"/>
        <v>1.3.10 Prevence a řízení antropogenních rizik</v>
      </c>
      <c r="G69" s="22" t="str">
        <f t="shared" si="10"/>
        <v>1.3.10 Prevence a řízení antropogenních rizik</v>
      </c>
      <c r="H69" s="22" t="str">
        <f t="shared" si="10"/>
        <v>1.3.10 Prevence a řízení antropogenních rizik</v>
      </c>
      <c r="I69" s="22" t="str">
        <f t="shared" si="10"/>
        <v>1.3.10 Prevence a řízení antropogenních rizik</v>
      </c>
      <c r="J69" s="22" t="str">
        <f t="shared" si="10"/>
        <v>1.3.10 Prevence a řízení antropogenních rizik</v>
      </c>
      <c r="K69" s="22" t="str">
        <f t="shared" si="10"/>
        <v>1.3.10 Prevence a řízení antropogenních rizik</v>
      </c>
      <c r="L69" s="22" t="str">
        <f t="shared" si="10"/>
        <v>1.3.10 Prevence a řízení antropogenních rizik</v>
      </c>
      <c r="M69" s="22" t="str">
        <f t="shared" si="10"/>
        <v>1.3.10 Prevence a řízení antropogenních rizik</v>
      </c>
      <c r="Q69" s="10">
        <f>SUM(Q65:Q68)</f>
        <v>0</v>
      </c>
    </row>
    <row r="70" spans="4:17" ht="15.75" thickBot="1" x14ac:dyDescent="0.3">
      <c r="D70" s="23" t="str">
        <f>CHOOSE($C$1,"","","",M44,"",$M$35,"")</f>
        <v>1.3.11 Podpora přírodě blízkých opatření v krajině a sídlech - ERDF</v>
      </c>
      <c r="E70" s="23" t="str">
        <f>CHOOSE($C$1,"","","",M44,"",$M$35,"")</f>
        <v>1.3.11 Podpora přírodě blízkých opatření v krajině a sídlech - ERDF</v>
      </c>
      <c r="F70" s="23" t="str">
        <f>CHOOSE($C$1,"","","",M44,"",$M$35,"")</f>
        <v>1.3.11 Podpora přírodě blízkých opatření v krajině a sídlech - ERDF</v>
      </c>
      <c r="G70" s="23" t="str">
        <f>CHOOSE($C$1,"","","",M44,"",$M$35,"")</f>
        <v>1.3.11 Podpora přírodě blízkých opatření v krajině a sídlech - ERDF</v>
      </c>
      <c r="H70" s="23" t="str">
        <f>CHOOSE($C$1,"","","",M44,"",$M$35,"")</f>
        <v>1.3.11 Podpora přírodě blízkých opatření v krajině a sídlech - ERDF</v>
      </c>
      <c r="I70" s="23" t="str">
        <f>CHOOSE($C$1,"","","",M44,"",$M$35,"")</f>
        <v>1.3.11 Podpora přírodě blízkých opatření v krajině a sídlech - ERDF</v>
      </c>
      <c r="J70" s="23" t="str">
        <f>CHOOSE($C$1,"","","",M44,"",$M$35,"")</f>
        <v>1.3.11 Podpora přírodě blízkých opatření v krajině a sídlech - ERDF</v>
      </c>
      <c r="K70" s="23" t="str">
        <f>CHOOSE($C$1,"","","",M44,"",$M$35,"")</f>
        <v>1.3.11 Podpora přírodě blízkých opatření v krajině a sídlech - ERDF</v>
      </c>
      <c r="L70" s="23" t="str">
        <f>CHOOSE($C$1,"","","",M44,"",$M$35,"")</f>
        <v>1.3.11 Podpora přírodě blízkých opatření v krajině a sídlech - ERDF</v>
      </c>
      <c r="M70" s="23" t="str">
        <f>CHOOSE($C$1,"","","",M44,"",$M$35,"")</f>
        <v>1.3.11 Podpora přírodě blízkých opatření v krajině a sídlech - ERDF</v>
      </c>
      <c r="P70" t="s">
        <v>122</v>
      </c>
    </row>
    <row r="71" spans="4:17" ht="15.75" thickBot="1" x14ac:dyDescent="0.3">
      <c r="P71" t="str">
        <f>KR!C70</f>
        <v>vyber Podaktivitu #2</v>
      </c>
      <c r="Q71">
        <f>IF(P71="vyber Podaktivitu #2",0,1)</f>
        <v>0</v>
      </c>
    </row>
    <row r="72" spans="4:17" x14ac:dyDescent="0.25">
      <c r="D72" s="21" t="s">
        <v>190</v>
      </c>
      <c r="E72" t="s">
        <v>191</v>
      </c>
      <c r="F72" t="s">
        <v>192</v>
      </c>
      <c r="G72" t="s">
        <v>193</v>
      </c>
      <c r="P72" t="str">
        <f>KR!C71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IF($B$23=9,$D$31,IF($B$23=35,$D$36,IF($B$23=36,$D$41,IF($B$23=43,D43,""))))</f>
        <v>1.3.11.1 Tvorba nových a obnova stávajících přírodě blízkých vodních prvků v krajině včetně sídel</v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KR!C72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IF($B$23=9,$D$32,IF($B$23=35,$D$37,IF($B$23=36,$D$42,IF($B$23=43,D44,""))))</f>
        <v>1.3.11.2 Tvorba nových a obnova stávajících vegetačních prvků a struktur, včetně opatření proti vodní a větrné erozi</v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IF($B$23=9,$D$33,IF($B$23=35,$D$37,IF($B$23=36,$D$42,IF($B$23=43,I45,""))))</f>
        <v>1.3.11.5 Odstranění či eliminace negativních funkcí odvodňovacích zařízení v krajině</v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199</v>
      </c>
      <c r="E79" t="s">
        <v>200</v>
      </c>
      <c r="F79" t="s">
        <v>201</v>
      </c>
      <c r="G79" t="s">
        <v>272</v>
      </c>
    </row>
    <row r="80" spans="4:17" x14ac:dyDescent="0.25">
      <c r="D80" s="22" t="str">
        <f>IF(AND($B$23=9,$B$24=1),$D$46,IF(AND($B$23=9,$B$24=2),$D$50,IF(AND($B$23=35,$B$24=1),$D$52,IF(AND($B$23=43,$B$24=1),$D$54,IF(AND($B$23=43,$B$24=2),$I$55,"irelevantní")))))</f>
        <v>irelevantní</v>
      </c>
      <c r="E80" s="22" t="str">
        <f t="shared" ref="E80:F80" si="11">IF(AND($B$23=9,$B$24=1),$D$46,IF(AND($B$23=9,$B$24=2),$D$50,IF(AND($B$23=35,$B$24=1),$D$52,IF(AND($B$23=43,$B$24=1),$D$54,IF(AND($B$23=43,$B$24=2),$I$55,"irelevantní")))))</f>
        <v>irelevantní</v>
      </c>
      <c r="F80" s="22" t="str">
        <f t="shared" si="11"/>
        <v>irelevantní</v>
      </c>
    </row>
    <row r="81" spans="4:6" x14ac:dyDescent="0.25">
      <c r="D81" s="22" t="str">
        <f>IF(AND($B$23=9,$B$24=1),$D$47,IF(AND($B$23=9,$B$24=2),$D$51,IF(AND($B$23=35,$B$24=1),$D$53,IF(AND($B$23=43,$B$24=1),$D$55,"irelevantní"))))</f>
        <v>irelevantní</v>
      </c>
      <c r="E81" s="22" t="str">
        <f t="shared" ref="E81:F81" si="12">IF(AND($B$23=9,$B$24=1),$D$47,IF(AND($B$23=9,$B$24=2),$D$51,IF(AND($B$23=35,$B$24=1),$D$53,IF(AND($B$23=43,$B$24=1),$D$55,"irelevantní"))))</f>
        <v>irelevantní</v>
      </c>
      <c r="F81" s="22" t="str">
        <f t="shared" si="12"/>
        <v>irelevantní</v>
      </c>
    </row>
    <row r="82" spans="4:6" x14ac:dyDescent="0.25">
      <c r="D82" s="22" t="str">
        <f>IF(AND($B$23=9,$B$24=1),$D$48,IF(AND($B$23=43,$B$24=1),$D$56,""))</f>
        <v/>
      </c>
      <c r="E82" s="22" t="str">
        <f t="shared" ref="E82:F82" si="13">IF(AND($B$23=9,$B$24=1),$D$48,IF(AND($B$23=43,$B$24=1),$D$56,""))</f>
        <v/>
      </c>
      <c r="F82" s="22" t="str">
        <f t="shared" si="13"/>
        <v/>
      </c>
    </row>
    <row r="83" spans="4:6" ht="15.75" thickBot="1" x14ac:dyDescent="0.3">
      <c r="D83" s="23" t="str">
        <f>IF(AND($B$23=9,$B$24=1),$D$49,IF(AND($B$23=43,$B$24=1),$D$57,""))</f>
        <v/>
      </c>
      <c r="E83" s="23" t="str">
        <f t="shared" ref="E83:F83" si="14">IF(AND($B$23=9,$B$24=1),$D$49,IF(AND($B$23=43,$B$24=1),$D$57,""))</f>
        <v/>
      </c>
      <c r="F83" s="23" t="str">
        <f t="shared" si="14"/>
        <v/>
      </c>
    </row>
    <row r="84" spans="4:6" ht="15.75" thickBot="1" x14ac:dyDescent="0.3">
      <c r="D84" s="23"/>
    </row>
  </sheetData>
  <sheetProtection selectLockedCells="1" selectUnlockedCells="1"/>
  <sortState xmlns:xlrd2="http://schemas.microsoft.com/office/spreadsheetml/2017/richdata2" ref="Q2:Q13">
    <sortCondition ref="Q2"/>
  </sortState>
  <phoneticPr fontId="21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D38" sqref="D38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1.3 Podpora přizpůsobení se změně klimatu, prevence rizika katastrof a odolnosti vůči nim s přihlédnutím k ekosystémovým přístupům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CHOOSE(zdroj!P2,zdroj!Q2,zdroj!Q3,zdroj!Q4,zdroj!Q5,zdroj!Q6,zdroj!Q7,zdroj!Q8,zdroj!Q9,zdroj!#REF!,zdroj!Q11,zdroj!Q12,zdroj!Q13,zdroj!Q14,zdroj!Q15,zdroj!Q16,zdroj!Q17,zdroj!Q18,zdroj!Q19,zdroj!#REF!,zdroj!Q20)</f>
        <v>mimo Veřejnou podporu</v>
      </c>
    </row>
    <row r="7" spans="3:4" ht="15.75" x14ac:dyDescent="0.25">
      <c r="C7" s="44" t="s">
        <v>123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157</v>
      </c>
      <c r="D9" s="35" t="str">
        <f>KR!$D$27</f>
        <v>zadej výdaje/DPH</v>
      </c>
    </row>
    <row r="10" spans="3:4" x14ac:dyDescent="0.25">
      <c r="C10" s="36" t="s">
        <v>81</v>
      </c>
      <c r="D10" s="37" t="str">
        <f>KR!D28</f>
        <v>zadej výdaje/DPH</v>
      </c>
    </row>
    <row r="11" spans="3:4" ht="15.75" thickBot="1" x14ac:dyDescent="0.3">
      <c r="C11" s="38" t="s">
        <v>82</v>
      </c>
      <c r="D11" s="39" t="str">
        <f>KR!D29</f>
        <v>zadej výdaje/DPH</v>
      </c>
    </row>
    <row r="12" spans="3:4" ht="16.5" thickBot="1" x14ac:dyDescent="0.3">
      <c r="C12" s="132" t="s">
        <v>202</v>
      </c>
      <c r="D12" s="133" t="str">
        <f>KR!C49</f>
        <v>1.3.11 Podpora přírodě blízkých opatření v krajině a sídlech - ERDF</v>
      </c>
    </row>
    <row r="13" spans="3:4" x14ac:dyDescent="0.25">
      <c r="C13" s="28" t="s">
        <v>169</v>
      </c>
      <c r="D13" s="29" t="str">
        <f>KR!C50</f>
        <v>vyber Opatření #2</v>
      </c>
    </row>
    <row r="14" spans="3:4" x14ac:dyDescent="0.25">
      <c r="C14" s="30" t="s">
        <v>170</v>
      </c>
      <c r="D14" s="31" t="str">
        <f>KR!C51</f>
        <v>vyber Opatření #3</v>
      </c>
    </row>
    <row r="15" spans="3:4" x14ac:dyDescent="0.25">
      <c r="C15" s="30" t="s">
        <v>171</v>
      </c>
      <c r="D15" s="31" t="str">
        <f>KR!C52</f>
        <v>vyber Opatření #4</v>
      </c>
    </row>
    <row r="16" spans="3:4" x14ac:dyDescent="0.25">
      <c r="C16" s="30" t="s">
        <v>172</v>
      </c>
      <c r="D16" s="31" t="str">
        <f>KR!C53</f>
        <v>vyber Opatření #5</v>
      </c>
    </row>
    <row r="17" spans="3:4" x14ac:dyDescent="0.25">
      <c r="C17" s="30" t="s">
        <v>173</v>
      </c>
      <c r="D17" s="31" t="str">
        <f>KR!C54</f>
        <v>vyber Opatření #6</v>
      </c>
    </row>
    <row r="18" spans="3:4" x14ac:dyDescent="0.25">
      <c r="C18" s="30" t="s">
        <v>174</v>
      </c>
      <c r="D18" s="31" t="str">
        <f>KR!C55</f>
        <v>vyber Opatření #7</v>
      </c>
    </row>
    <row r="19" spans="3:4" x14ac:dyDescent="0.25">
      <c r="C19" s="30" t="s">
        <v>175</v>
      </c>
      <c r="D19" s="31" t="str">
        <f>KR!C56</f>
        <v>vyber Opatření #8</v>
      </c>
    </row>
    <row r="20" spans="3:4" x14ac:dyDescent="0.25">
      <c r="C20" s="30" t="s">
        <v>176</v>
      </c>
      <c r="D20" s="31" t="str">
        <f>KR!C57</f>
        <v>vyber Opatření #9</v>
      </c>
    </row>
    <row r="21" spans="3:4" x14ac:dyDescent="0.25">
      <c r="C21" s="30" t="s">
        <v>177</v>
      </c>
      <c r="D21" s="31" t="str">
        <f>KR!C58</f>
        <v>vyber Opatření #10</v>
      </c>
    </row>
    <row r="22" spans="3:4" ht="15.75" thickBot="1" x14ac:dyDescent="0.3">
      <c r="C22" s="32" t="s">
        <v>178</v>
      </c>
      <c r="D22" s="31" t="str">
        <f>KR!C59</f>
        <v>vyber Opatření #11</v>
      </c>
    </row>
    <row r="23" spans="3:4" ht="16.5" thickBot="1" x14ac:dyDescent="0.3">
      <c r="C23" s="132" t="s">
        <v>203</v>
      </c>
      <c r="D23" s="133" t="str">
        <f>KR!C62</f>
        <v>1.3.11.5 Odstranění či eliminace negativních funkcí odvodňovacích zařízení v krajině</v>
      </c>
    </row>
    <row r="24" spans="3:4" x14ac:dyDescent="0.25">
      <c r="C24" s="28" t="s">
        <v>205</v>
      </c>
      <c r="D24" s="29" t="str">
        <f>KR!C63</f>
        <v>vyber Aktivitu #2</v>
      </c>
    </row>
    <row r="25" spans="3:4" x14ac:dyDescent="0.25">
      <c r="C25" s="30" t="s">
        <v>206</v>
      </c>
      <c r="D25" s="31" t="str">
        <f>KR!C64</f>
        <v>vyber Aktivitu #3</v>
      </c>
    </row>
    <row r="26" spans="3:4" x14ac:dyDescent="0.25">
      <c r="C26" s="30" t="s">
        <v>207</v>
      </c>
      <c r="D26" s="31" t="str">
        <f>KR!C65</f>
        <v>vyber Aktivitu #4</v>
      </c>
    </row>
    <row r="27" spans="3:4" ht="15.75" thickBot="1" x14ac:dyDescent="0.3">
      <c r="C27" s="32" t="s">
        <v>208</v>
      </c>
      <c r="D27" s="33" t="str">
        <f>KR!C66</f>
        <v>vyber Aktivitu #5</v>
      </c>
    </row>
    <row r="28" spans="3:4" ht="15.75" x14ac:dyDescent="0.25">
      <c r="C28" s="132" t="s">
        <v>204</v>
      </c>
      <c r="D28" s="133" t="str">
        <f>KR!C69</f>
        <v>irelevantní</v>
      </c>
    </row>
    <row r="29" spans="3:4" x14ac:dyDescent="0.25">
      <c r="C29" s="47" t="s">
        <v>209</v>
      </c>
      <c r="D29" s="43" t="str">
        <f>KR!C70</f>
        <v>vyber Podaktivitu #2</v>
      </c>
    </row>
    <row r="30" spans="3:4" x14ac:dyDescent="0.25">
      <c r="C30" s="30" t="s">
        <v>210</v>
      </c>
      <c r="D30" s="31" t="str">
        <f>KR!C71</f>
        <v>vyber Podaktivitu #3</v>
      </c>
    </row>
    <row r="31" spans="3:4" ht="15.75" thickBot="1" x14ac:dyDescent="0.3">
      <c r="C31" s="130" t="s">
        <v>211</v>
      </c>
      <c r="D31" s="46" t="str">
        <f>KR!C72</f>
        <v>vyber Podaktivitu #4</v>
      </c>
    </row>
    <row r="32" spans="3:4" ht="45" x14ac:dyDescent="0.25">
      <c r="C32" s="28" t="s">
        <v>242</v>
      </c>
      <c r="D32" s="35" t="str">
        <f>KR!F39</f>
        <v>zadej výdaje/DPH</v>
      </c>
    </row>
    <row r="33" spans="3:4" ht="75" x14ac:dyDescent="0.25">
      <c r="C33" s="30" t="s">
        <v>243</v>
      </c>
      <c r="D33" s="37" t="str">
        <f>KR!F40</f>
        <v>zadej výdaje/DPH</v>
      </c>
    </row>
    <row r="34" spans="3:4" ht="30.75" thickBot="1" x14ac:dyDescent="0.3">
      <c r="C34" s="130" t="s">
        <v>241</v>
      </c>
      <c r="D34" s="131" t="str">
        <f>KR!F41</f>
        <v>zadej výdaje/DPH</v>
      </c>
    </row>
    <row r="35" spans="3:4" ht="30" x14ac:dyDescent="0.25">
      <c r="C35" s="28" t="s">
        <v>244</v>
      </c>
      <c r="D35" s="35">
        <f>KR!I23</f>
        <v>0</v>
      </c>
    </row>
    <row r="36" spans="3:4" ht="30.75" thickBot="1" x14ac:dyDescent="0.3">
      <c r="C36" s="32" t="s">
        <v>245</v>
      </c>
      <c r="D36" s="39">
        <f>KR!I26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F5743DFFAAD46B42B69C2C6A4AEF6" ma:contentTypeVersion="15" ma:contentTypeDescription="Vytvoří nový dokument" ma:contentTypeScope="" ma:versionID="763140063da7ce45bb5d2b6969cd9513">
  <xsd:schema xmlns:xsd="http://www.w3.org/2001/XMLSchema" xmlns:xs="http://www.w3.org/2001/XMLSchema" xmlns:p="http://schemas.microsoft.com/office/2006/metadata/properties" xmlns:ns2="42cb3508-7c8b-48d4-827c-1760d803a4f0" xmlns:ns3="572540a6-3777-4312-a0d1-abd6261c02e7" targetNamespace="http://schemas.microsoft.com/office/2006/metadata/properties" ma:root="true" ma:fieldsID="5cc06950307e28b6e64b160d73a0c14d" ns2:_="" ns3:_="">
    <xsd:import namespace="42cb3508-7c8b-48d4-827c-1760d803a4f0"/>
    <xsd:import namespace="572540a6-3777-4312-a0d1-abd6261c0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Aktu_x00e1_ln_x00ed_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b3508-7c8b-48d4-827c-1760d803a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Aktu_x00e1_ln_x00ed_" ma:index="15" nillable="true" ma:displayName="Verze dokumentu" ma:description="Popisuje aktuálnost verze" ma:format="Dropdown" ma:internalName="Aktu_x00e1_ln_x00ed_">
      <xsd:simpleType>
        <xsd:union memberTypes="dms:Text">
          <xsd:simpleType>
            <xsd:restriction base="dms:Choice">
              <xsd:enumeration value="Aktuální verze"/>
              <xsd:enumeration value="Aktuální revizní verze"/>
              <xsd:enumeration value="Revizní verze"/>
              <xsd:enumeration value="Starší verze"/>
              <xsd:enumeration value="Publikovaná verze"/>
            </xsd:restriction>
          </xsd:simpleType>
        </xsd:un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54c5222-3fec-4dfe-b31b-aa8359fa6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540a6-3777-4312-a0d1-abd6261c0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ee27111-64cd-472d-a25c-6dacbad8fa14}" ma:internalName="TaxCatchAll" ma:showField="CatchAllData" ma:web="572540a6-3777-4312-a0d1-abd6261c0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u_x00e1_ln_x00ed_ xmlns="42cb3508-7c8b-48d4-827c-1760d803a4f0" xsi:nil="true"/>
    <lcf76f155ced4ddcb4097134ff3c332f xmlns="42cb3508-7c8b-48d4-827c-1760d803a4f0">
      <Terms xmlns="http://schemas.microsoft.com/office/infopath/2007/PartnerControls"/>
    </lcf76f155ced4ddcb4097134ff3c332f>
    <TaxCatchAll xmlns="572540a6-3777-4312-a0d1-abd6261c02e7" xsi:nil="true"/>
  </documentManagement>
</p:properties>
</file>

<file path=customXml/itemProps1.xml><?xml version="1.0" encoding="utf-8"?>
<ds:datastoreItem xmlns:ds="http://schemas.openxmlformats.org/officeDocument/2006/customXml" ds:itemID="{D7FA3854-931C-400A-9F6D-FD0EE79C5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D951B-E441-4501-BD7F-4F348B833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b3508-7c8b-48d4-827c-1760d803a4f0"/>
    <ds:schemaRef ds:uri="572540a6-3777-4312-a0d1-abd6261c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EC17D-A083-44CF-89AD-756AFCB193A9}">
  <ds:schemaRefs>
    <ds:schemaRef ds:uri="http://schemas.microsoft.com/office/2006/metadata/properties"/>
    <ds:schemaRef ds:uri="http://schemas.microsoft.com/office/infopath/2007/PartnerControls"/>
    <ds:schemaRef ds:uri="42cb3508-7c8b-48d4-827c-1760d803a4f0"/>
    <ds:schemaRef ds:uri="572540a6-3777-4312-a0d1-abd6261c02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2025-07-08T16:04:06Z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0x0101004B1F5743DFFAAD46B42B69C2C6A4AEF6</vt:lpwstr>
  </property>
  <property fmtid="{D5CDD505-2E9C-101B-9397-08002B2CF9AE}" pid="3" name="MediaServiceImageTags">
    <vt:lpwstr/>
  </property>
</Properties>
</file>